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0" windowWidth="19155" windowHeight="7440" tabRatio="652" activeTab="2"/>
  </bookViews>
  <sheets>
    <sheet name="REGNSK.2010" sheetId="1" r:id="rId1"/>
    <sheet name="konto2010" sheetId="2" r:id="rId2"/>
    <sheet name="ford.2010" sheetId="3" r:id="rId3"/>
    <sheet name="buds.2010" sheetId="4" r:id="rId4"/>
    <sheet name="Regnskap2010" sheetId="5" r:id="rId5"/>
    <sheet name="startk.2010" sheetId="6" r:id="rId6"/>
    <sheet name="Startkontingent2010" sheetId="7" r:id="rId7"/>
    <sheet name="Starter i 2010" sheetId="8" r:id="rId8"/>
    <sheet name="Ark2" sheetId="9" r:id="rId9"/>
    <sheet name="Ark1" sheetId="10" r:id="rId10"/>
  </sheets>
  <externalReferences>
    <externalReference r:id="rId13"/>
  </externalReferences>
  <definedNames>
    <definedName name="_xlnm._FilterDatabase" localSheetId="7" hidden="1">'Starter i 2010'!$A$2:$CY$220</definedName>
    <definedName name="_xlnm._FilterDatabase" localSheetId="6" hidden="1">'Startkontingent2010'!$A$3:$B$219</definedName>
  </definedNames>
  <calcPr fullCalcOnLoad="1"/>
</workbook>
</file>

<file path=xl/comments3.xml><?xml version="1.0" encoding="utf-8"?>
<comments xmlns="http://schemas.openxmlformats.org/spreadsheetml/2006/main">
  <authors>
    <author>Reidar</author>
  </authors>
  <commentList>
    <comment ref="C11" authorId="0">
      <text>
        <r>
          <rPr>
            <b/>
            <sz val="9"/>
            <rFont val="Tahoma"/>
            <family val="2"/>
          </rPr>
          <t>Reidar:</t>
        </r>
        <r>
          <rPr>
            <sz val="9"/>
            <rFont val="Tahoma"/>
            <family val="2"/>
          </rPr>
          <t xml:space="preserve">
Bravoprosjektet: 10.000
</t>
        </r>
      </text>
    </comment>
    <comment ref="C19" authorId="0">
      <text>
        <r>
          <rPr>
            <b/>
            <sz val="9"/>
            <rFont val="Tahoma"/>
            <family val="2"/>
          </rPr>
          <t>Reidar:</t>
        </r>
        <r>
          <rPr>
            <sz val="9"/>
            <rFont val="Tahoma"/>
            <family val="2"/>
          </rPr>
          <t xml:space="preserve">
Dugnad sykkelløp Gjerdrum</t>
        </r>
      </text>
    </comment>
  </commentList>
</comments>
</file>

<file path=xl/comments4.xml><?xml version="1.0" encoding="utf-8"?>
<comments xmlns="http://schemas.openxmlformats.org/spreadsheetml/2006/main">
  <authors>
    <author>Reidar</author>
  </authors>
  <commentList>
    <comment ref="C11" authorId="0">
      <text>
        <r>
          <rPr>
            <b/>
            <sz val="9"/>
            <rFont val="Tahoma"/>
            <family val="2"/>
          </rPr>
          <t>Reidar:</t>
        </r>
        <r>
          <rPr>
            <sz val="9"/>
            <rFont val="Tahoma"/>
            <family val="2"/>
          </rPr>
          <t xml:space="preserve">
Bravoprosjektet: 10.000
</t>
        </r>
      </text>
    </comment>
    <comment ref="C18" authorId="0">
      <text>
        <r>
          <rPr>
            <b/>
            <sz val="9"/>
            <rFont val="Tahoma"/>
            <family val="2"/>
          </rPr>
          <t>Reidar:</t>
        </r>
        <r>
          <rPr>
            <sz val="9"/>
            <rFont val="Tahoma"/>
            <family val="2"/>
          </rPr>
          <t xml:space="preserve">
Dugnad sykkelløp Gjerdrum</t>
        </r>
      </text>
    </comment>
  </commentList>
</comments>
</file>

<file path=xl/comments5.xml><?xml version="1.0" encoding="utf-8"?>
<comments xmlns="http://schemas.openxmlformats.org/spreadsheetml/2006/main">
  <authors>
    <author>Reidar</author>
  </authors>
  <commentList>
    <comment ref="F11" authorId="0">
      <text>
        <r>
          <rPr>
            <b/>
            <sz val="9"/>
            <rFont val="Tahoma"/>
            <family val="2"/>
          </rPr>
          <t>Reidar:</t>
        </r>
        <r>
          <rPr>
            <sz val="9"/>
            <rFont val="Tahoma"/>
            <family val="2"/>
          </rPr>
          <t xml:space="preserve">
Bravoprosjektet: 10.000
</t>
        </r>
      </text>
    </comment>
    <comment ref="F19" authorId="0">
      <text>
        <r>
          <rPr>
            <b/>
            <sz val="9"/>
            <rFont val="Tahoma"/>
            <family val="2"/>
          </rPr>
          <t>Reidar:</t>
        </r>
        <r>
          <rPr>
            <sz val="9"/>
            <rFont val="Tahoma"/>
            <family val="2"/>
          </rPr>
          <t xml:space="preserve">
Dugnad sykkelløp Gjerdrum</t>
        </r>
      </text>
    </comment>
  </commentList>
</comments>
</file>

<file path=xl/sharedStrings.xml><?xml version="1.0" encoding="utf-8"?>
<sst xmlns="http://schemas.openxmlformats.org/spreadsheetml/2006/main" count="3500" uniqueCount="1071">
  <si>
    <t>Treningsavgift (20*500 + 20*800)</t>
  </si>
  <si>
    <t>Egenandel. Trening,saml. Inkl. Egenandel  O-Landsleier</t>
  </si>
  <si>
    <t>Andre Dugnader</t>
  </si>
  <si>
    <t>Prosentvis</t>
  </si>
  <si>
    <t>DnBNOR</t>
  </si>
  <si>
    <t>Postbanken</t>
  </si>
  <si>
    <t>Fordeling av startkontigent 2009</t>
  </si>
  <si>
    <t>Sum startkontingent 2009</t>
  </si>
  <si>
    <t>Dato</t>
  </si>
  <si>
    <t>Bilagsnr</t>
  </si>
  <si>
    <t>Kontonr</t>
  </si>
  <si>
    <t>Tekst</t>
  </si>
  <si>
    <t>Post</t>
  </si>
  <si>
    <t>Bank</t>
  </si>
  <si>
    <t>33.1</t>
  </si>
  <si>
    <t xml:space="preserve"> </t>
  </si>
  <si>
    <t>FELLES</t>
  </si>
  <si>
    <t>EOL</t>
  </si>
  <si>
    <t>GOL</t>
  </si>
  <si>
    <t>HOL</t>
  </si>
  <si>
    <t>NOL</t>
  </si>
  <si>
    <t>UOL</t>
  </si>
  <si>
    <t>SUM</t>
  </si>
  <si>
    <t>STAFETT</t>
  </si>
  <si>
    <t>Beholdning</t>
  </si>
  <si>
    <t>Konto</t>
  </si>
  <si>
    <t>Inntekter</t>
  </si>
  <si>
    <t>Utgifter</t>
  </si>
  <si>
    <t>Fordeling</t>
  </si>
  <si>
    <t>Eidsvoll</t>
  </si>
  <si>
    <t>Gjerdrum</t>
  </si>
  <si>
    <t>Hurdal</t>
  </si>
  <si>
    <t xml:space="preserve">Nes </t>
  </si>
  <si>
    <t>Ullensaker</t>
  </si>
  <si>
    <t>31.1</t>
  </si>
  <si>
    <t>Tilskudd fra lagene</t>
  </si>
  <si>
    <t>31.2</t>
  </si>
  <si>
    <t>Reisefordeling</t>
  </si>
  <si>
    <t>31.3.</t>
  </si>
  <si>
    <t>Tilskudd fra kretsen</t>
  </si>
  <si>
    <t>Off. støtte</t>
  </si>
  <si>
    <t>33.2</t>
  </si>
  <si>
    <t>Egenandel. repr.</t>
  </si>
  <si>
    <t>33.3</t>
  </si>
  <si>
    <t>Salg av drakter</t>
  </si>
  <si>
    <t>Sponsor</t>
  </si>
  <si>
    <t>Egne stevner</t>
  </si>
  <si>
    <t>Administrasjon</t>
  </si>
  <si>
    <t>Kjøp av drakter</t>
  </si>
  <si>
    <t>Kontigent</t>
  </si>
  <si>
    <t>Renter</t>
  </si>
  <si>
    <t>Eksakt</t>
  </si>
  <si>
    <t>Egenandel. Trening,saml.</t>
  </si>
  <si>
    <t>%</t>
  </si>
  <si>
    <t>31.4</t>
  </si>
  <si>
    <t>Tilskudd fra idrettsforbund</t>
  </si>
  <si>
    <t>Fordeling på lagene.</t>
  </si>
  <si>
    <t>Bjørnstad Tina</t>
  </si>
  <si>
    <t>Engen Olav</t>
  </si>
  <si>
    <t>Fodstad Bjørn</t>
  </si>
  <si>
    <t>Saxhaug Arne</t>
  </si>
  <si>
    <t>Strand Tor</t>
  </si>
  <si>
    <t>Aas Harald</t>
  </si>
  <si>
    <t xml:space="preserve">Aas Per </t>
  </si>
  <si>
    <t>Strand Tor Arve</t>
  </si>
  <si>
    <t>Bakkeløkken Arne</t>
  </si>
  <si>
    <t>Christiansen  Vetle</t>
  </si>
  <si>
    <t>Døhlen Inger</t>
  </si>
  <si>
    <t>Haga Anders</t>
  </si>
  <si>
    <t>Haga Bjørn</t>
  </si>
  <si>
    <t>Haga Håvard</t>
  </si>
  <si>
    <t>Haga Liv Bakken</t>
  </si>
  <si>
    <t>Haga Magne</t>
  </si>
  <si>
    <t>Kinneberg Aslak</t>
  </si>
  <si>
    <t>Kinneberg Eskil</t>
  </si>
  <si>
    <t>Kinneberg Lene</t>
  </si>
  <si>
    <t>Kinneberg Vilde</t>
  </si>
  <si>
    <t xml:space="preserve">Larsen Hans </t>
  </si>
  <si>
    <t>Moe Anne Berit</t>
  </si>
  <si>
    <t>Rustad Anne Grethe</t>
  </si>
  <si>
    <t>Rustad Eirik</t>
  </si>
  <si>
    <t>Rustad Per Olav</t>
  </si>
  <si>
    <t>Rustad Simen</t>
  </si>
  <si>
    <t>Stenhammer Eivind</t>
  </si>
  <si>
    <t>Stenhammer Jørgen</t>
  </si>
  <si>
    <t>Stenhammer Kjetil</t>
  </si>
  <si>
    <t>Stenhammer Unni</t>
  </si>
  <si>
    <t>Sørum Morten Vilbo</t>
  </si>
  <si>
    <t>Vegheim Birgit</t>
  </si>
  <si>
    <t>Vegheim Bjørn</t>
  </si>
  <si>
    <t xml:space="preserve">Vegheim Mari </t>
  </si>
  <si>
    <t>Aardal Joakim</t>
  </si>
  <si>
    <t>Buraas Bodil</t>
  </si>
  <si>
    <t>Buraas Erik Melbye</t>
  </si>
  <si>
    <t xml:space="preserve">Gabrielsen Heidi </t>
  </si>
  <si>
    <t>Hammeren Marit</t>
  </si>
  <si>
    <t>Løvli  Øystein</t>
  </si>
  <si>
    <t>Melbye Sverre</t>
  </si>
  <si>
    <t>Tømta Arne</t>
  </si>
  <si>
    <t>Tømta Liv</t>
  </si>
  <si>
    <t>Tømta Trygve</t>
  </si>
  <si>
    <t>Engen Ida Flatmo</t>
  </si>
  <si>
    <t>Engen Knut</t>
  </si>
  <si>
    <t>Bråten Terje</t>
  </si>
  <si>
    <t>Bråten Tiril Ruud</t>
  </si>
  <si>
    <t>Ekroll Anne Catrine</t>
  </si>
  <si>
    <t>Hovind Trond Erik</t>
  </si>
  <si>
    <t>Jahren Asle</t>
  </si>
  <si>
    <t>sumkontonr.</t>
  </si>
  <si>
    <t>Sandholt  Sina</t>
  </si>
  <si>
    <t>Tron Erik Hovind</t>
  </si>
  <si>
    <t>Leder</t>
  </si>
  <si>
    <t>Kasserer</t>
  </si>
  <si>
    <t>Reidar Øien</t>
  </si>
  <si>
    <t>40.1</t>
  </si>
  <si>
    <t>40.2</t>
  </si>
  <si>
    <t>Startkontingent, Individuell</t>
  </si>
  <si>
    <t>Ski-O</t>
  </si>
  <si>
    <t>NOM-2004</t>
  </si>
  <si>
    <t>16.-18.01</t>
  </si>
  <si>
    <t>Antall starter:</t>
  </si>
  <si>
    <t>Navn:</t>
  </si>
  <si>
    <t>Klubb:</t>
  </si>
  <si>
    <t>SUM:</t>
  </si>
  <si>
    <t>Sum pr. Klubb:</t>
  </si>
  <si>
    <t>Sum start-</t>
  </si>
  <si>
    <t>kontingent</t>
  </si>
  <si>
    <t>Sum antall</t>
  </si>
  <si>
    <t>starter:</t>
  </si>
  <si>
    <t>Sandholt  Irene</t>
  </si>
  <si>
    <t>Breen Trine</t>
  </si>
  <si>
    <t>Breen Silje</t>
  </si>
  <si>
    <t>Trening, instruksjon, samlinger-eksternt</t>
  </si>
  <si>
    <t>Trening, instruksjon, samlinger-internt</t>
  </si>
  <si>
    <t>Budsjett:</t>
  </si>
  <si>
    <t>Fagerhaug Petter</t>
  </si>
  <si>
    <t>31.3</t>
  </si>
  <si>
    <t>EOL:</t>
  </si>
  <si>
    <t>GOL:</t>
  </si>
  <si>
    <t>HOL:</t>
  </si>
  <si>
    <t>NOL:</t>
  </si>
  <si>
    <t>UOL:</t>
  </si>
  <si>
    <t>Antall</t>
  </si>
  <si>
    <t>Starter</t>
  </si>
  <si>
    <t>Raumar O-lag</t>
  </si>
  <si>
    <t>Regnskap:</t>
  </si>
  <si>
    <t>Dato:</t>
  </si>
  <si>
    <t>Representasjon</t>
  </si>
  <si>
    <t>Frogner</t>
  </si>
  <si>
    <t>1/6</t>
  </si>
  <si>
    <t>Startkontingent/Andre utgifter - Stafetter</t>
  </si>
  <si>
    <t xml:space="preserve">Dato: </t>
  </si>
  <si>
    <t>FIL</t>
  </si>
  <si>
    <t>Austad, Anne-Grete</t>
  </si>
  <si>
    <t>Alnæs, Anikken</t>
  </si>
  <si>
    <t>Alnæs, Sindre</t>
  </si>
  <si>
    <t>Alnæs, Gry Anita</t>
  </si>
  <si>
    <t>Alnæs, Stein-Arne</t>
  </si>
  <si>
    <t>Sveen, Jan</t>
  </si>
  <si>
    <t>Iversen, Einar</t>
  </si>
  <si>
    <t>Kjeldsberg, Mona</t>
  </si>
  <si>
    <t>Kjeldsberg, Helene</t>
  </si>
  <si>
    <t>Fordeling av Stafetter</t>
  </si>
  <si>
    <t>Monsrud Helge</t>
  </si>
  <si>
    <t>Dalgaard Vilde</t>
  </si>
  <si>
    <t>Rapp Øystein</t>
  </si>
  <si>
    <t>Rapp Ingrid Eide</t>
  </si>
  <si>
    <t>Melby Line Maria Haugen</t>
  </si>
  <si>
    <t>Kjeldsberg Martin</t>
  </si>
  <si>
    <t>Rapp Synne Eide</t>
  </si>
  <si>
    <t>Stenslet Pål</t>
  </si>
  <si>
    <t xml:space="preserve">Haugen Marianne </t>
  </si>
  <si>
    <t>Haugen Marianne    (D17N)</t>
  </si>
  <si>
    <t>Rasen Mariann Helne</t>
  </si>
  <si>
    <t>Kjeldsberg Øyvind</t>
  </si>
  <si>
    <t>Melby Henriette Haugen</t>
  </si>
  <si>
    <t>Andreassen Arnstein</t>
  </si>
  <si>
    <t>Andreassen  Arnstein</t>
  </si>
  <si>
    <t>Hoel Johan</t>
  </si>
  <si>
    <t>Hoel Johan (H11-12N)</t>
  </si>
  <si>
    <t>Moen Martine</t>
  </si>
  <si>
    <t>Rasen André Helne</t>
  </si>
  <si>
    <t>Rasen André Helne (uten tid)</t>
  </si>
  <si>
    <t>33.0</t>
  </si>
  <si>
    <t>Treningsavgift (30*200 + 15*400)</t>
  </si>
  <si>
    <t>Egenandel representasjon</t>
  </si>
  <si>
    <t>36.0</t>
  </si>
  <si>
    <t>36.1</t>
  </si>
  <si>
    <t>Dugnader, Raumars andel av O-festivalen</t>
  </si>
  <si>
    <t>Bråten Trine Ruud</t>
  </si>
  <si>
    <t>Bråten Sondre Ruud</t>
  </si>
  <si>
    <t>Bråten Vetle Ruud</t>
  </si>
  <si>
    <t>Wennemo Anita</t>
  </si>
  <si>
    <t>Wennemo Oda</t>
  </si>
  <si>
    <t>Wennemo Åsmund</t>
  </si>
  <si>
    <t>Løvli Line B</t>
  </si>
  <si>
    <t>Hovind Turid K.</t>
  </si>
  <si>
    <t>Hovind Anne K.</t>
  </si>
  <si>
    <t>Hovind Eirik K.</t>
  </si>
  <si>
    <t>Hovind Kari K.</t>
  </si>
  <si>
    <t>Jahren Brage Ekroll</t>
  </si>
  <si>
    <t>Jahren Silje Ekroll</t>
  </si>
  <si>
    <t>Austad Stine</t>
  </si>
  <si>
    <t>Løvli Line B (D17C)</t>
  </si>
  <si>
    <t>Buraas Gry Marianne</t>
  </si>
  <si>
    <t>Sønsterudbråten Ståle (H35)</t>
  </si>
  <si>
    <t>Engen Linda</t>
  </si>
  <si>
    <t>Strand Emil B</t>
  </si>
  <si>
    <t>Stenslet Daniel (H13-16N)</t>
  </si>
  <si>
    <t>Melby John Olav (H17N)</t>
  </si>
  <si>
    <t>Arntzen Anne (D35K)</t>
  </si>
  <si>
    <t>Breen Solveig (D17C)</t>
  </si>
  <si>
    <t>Vidvei Lars (H17C)</t>
  </si>
  <si>
    <t>Arntzen Anne</t>
  </si>
  <si>
    <t>Breen Solveig</t>
  </si>
  <si>
    <t>Vidvei Lars</t>
  </si>
  <si>
    <t>Sønsterudbråten Heidi (D35)</t>
  </si>
  <si>
    <t>Sønsterudbråten Heidi (D17K)</t>
  </si>
  <si>
    <t>Løvli Ingeborg (N-åpen)</t>
  </si>
  <si>
    <t>Sønsterudbråten Mathilde (N-åpen)</t>
  </si>
  <si>
    <t>Hoel Amund (N-åpen)</t>
  </si>
  <si>
    <t>Rapp Hanne (N¨åpen)</t>
  </si>
  <si>
    <t>Rapp Kristine (N-åpen)</t>
  </si>
  <si>
    <t>Tilskudd fra NOF/Idrettsforbund</t>
  </si>
  <si>
    <t>%-fordeling</t>
  </si>
  <si>
    <t>31.5</t>
  </si>
  <si>
    <t>42.1</t>
  </si>
  <si>
    <t>Uttersrud Nils</t>
  </si>
  <si>
    <t>Moen Håkon Haugen</t>
  </si>
  <si>
    <t>Løvli Jan Gunnar (H70)</t>
  </si>
  <si>
    <t>Løvli Jan Gunnar</t>
  </si>
  <si>
    <t>Arntzen Tiril (N-åpen)</t>
  </si>
  <si>
    <t>Buraas Roar</t>
  </si>
  <si>
    <t>Ryttervold Ivar Andre (H-10)</t>
  </si>
  <si>
    <t>Rasen Øyvind</t>
  </si>
  <si>
    <t>Beitnes Synnøve</t>
  </si>
  <si>
    <t>Sveen Anna Austad</t>
  </si>
  <si>
    <t>Finskud Tobias</t>
  </si>
  <si>
    <t xml:space="preserve">Starter </t>
  </si>
  <si>
    <t>i</t>
  </si>
  <si>
    <t>Dalberg Stine</t>
  </si>
  <si>
    <t>Representasjon (NM og lignende)</t>
  </si>
  <si>
    <t>Stafetter</t>
  </si>
  <si>
    <t>Ferieløp (utlandet)</t>
  </si>
  <si>
    <t>Skoglund Gisle</t>
  </si>
  <si>
    <t>37.1</t>
  </si>
  <si>
    <t>37.0</t>
  </si>
  <si>
    <t>Sønsterudbråten Pernille (N-åpen)</t>
  </si>
  <si>
    <t>???</t>
  </si>
  <si>
    <t>Lesteberg Ola</t>
  </si>
  <si>
    <t>Hoel Erik (H17C)</t>
  </si>
  <si>
    <t>Hoel Torunn (D17C)</t>
  </si>
  <si>
    <t>Hoel Erik</t>
  </si>
  <si>
    <t>Hoel Torunn</t>
  </si>
  <si>
    <t>Arntzen Dina (N-åpen)</t>
  </si>
  <si>
    <t>Hagen Emilie Johanne (D11-12)</t>
  </si>
  <si>
    <t>Hexeberg Marthe</t>
  </si>
  <si>
    <t>Hagen Emilie Johanne</t>
  </si>
  <si>
    <t>Fagerhaug Thea</t>
  </si>
  <si>
    <t>42.3</t>
  </si>
  <si>
    <t>Treningsstipend</t>
  </si>
  <si>
    <t>Aas Ragnhild</t>
  </si>
  <si>
    <t>Lesteberg Ingrid</t>
  </si>
  <si>
    <t>Sveen Anna Austad (N-åpen)</t>
  </si>
  <si>
    <t>Løvli Halvor (N-åpen)</t>
  </si>
  <si>
    <t>Austad Stine (D17C)</t>
  </si>
  <si>
    <t>Bjerken Guro</t>
  </si>
  <si>
    <t>Landmark Marie Børve</t>
  </si>
  <si>
    <t>Hexeberg Maria</t>
  </si>
  <si>
    <t>Børke Audun</t>
  </si>
  <si>
    <t>Hammer Anna</t>
  </si>
  <si>
    <t>Kjærstad Julie</t>
  </si>
  <si>
    <t>Nyerrød Karen Marie</t>
  </si>
  <si>
    <t>Risebrobakke Lars</t>
  </si>
  <si>
    <t>Holand Gudrun Aas</t>
  </si>
  <si>
    <t>Hammer Julie</t>
  </si>
  <si>
    <t>Risebrobakken Lars</t>
  </si>
  <si>
    <t>Brevik Audun (N-åpen)</t>
  </si>
  <si>
    <t>Breivik Bjørnar (H11.12N)</t>
  </si>
  <si>
    <t>Framnes Tor Harald (N-åpen)</t>
  </si>
  <si>
    <t>Moseng Eirik</t>
  </si>
  <si>
    <t>Akselsen Tiril</t>
  </si>
  <si>
    <t>Akselsen Trym</t>
  </si>
  <si>
    <t>Buraas Solveig</t>
  </si>
  <si>
    <t>Buraas Marte Sofie</t>
  </si>
  <si>
    <t>Brustad Markus</t>
  </si>
  <si>
    <t>Harstad Sillerud Martin</t>
  </si>
  <si>
    <t>Melby Karen Tjelta</t>
  </si>
  <si>
    <t>Regnskap 2010 - del 1: Inntekter og utgifter</t>
  </si>
  <si>
    <t>Beholdninger pr. 31.12.2010</t>
  </si>
  <si>
    <t>Sum bilag 2010</t>
  </si>
  <si>
    <t>Regnskap 2010 - del 2: Fordelt på den enkelte konto</t>
  </si>
  <si>
    <t>Regnskapsoversikt for 2010</t>
  </si>
  <si>
    <t>Innestående for lagene pr 31.12.2009</t>
  </si>
  <si>
    <t>Beholdning 31.12.2010</t>
  </si>
  <si>
    <t>Starter i 2010 fordelt på den enklete klubb/løper</t>
  </si>
  <si>
    <t>Startkontingent 2010 fordelt på den enkelte klubb/løper:</t>
  </si>
  <si>
    <t>Regnskap for År  2010</t>
  </si>
  <si>
    <t>Budsjett for År  2010</t>
  </si>
  <si>
    <t>Beholdning i Post og Bank pr. 01.01 - 2010</t>
  </si>
  <si>
    <t xml:space="preserve">Beholdning pr.  31.12-10 i Postbanken </t>
  </si>
  <si>
    <t>Beholdning pr.  31.12-10 i DnBNOR</t>
  </si>
  <si>
    <t>Beholdningsendring i 2010</t>
  </si>
  <si>
    <t>Beholdning i Post og Bank pr. 31.12 - 2010</t>
  </si>
  <si>
    <t>Råholt 31. desember 2010</t>
  </si>
  <si>
    <t>Strand Helen Jansen</t>
  </si>
  <si>
    <t>Egendandel Sommersamling junior, Odda 2-5 august 2009 fra Ullensaker O-lag</t>
  </si>
  <si>
    <t>Tilskudd fra Gjerdrum O-lag</t>
  </si>
  <si>
    <t>ServeTheWorld AS-Årsavgift Domeneadministrasjon og Webhotell for 2010</t>
  </si>
  <si>
    <t>StartkontingentTomannsstafett Ski-O, Lierbygda 03.01.2010</t>
  </si>
  <si>
    <t>Startkontingent NC Mellomdistanse Ski-O, Lierbygda 02.01.2010</t>
  </si>
  <si>
    <t>NC Ski-O</t>
  </si>
  <si>
    <t>Mellomdistanse</t>
  </si>
  <si>
    <t>Sønsterudbråten Karoline</t>
  </si>
  <si>
    <t xml:space="preserve">Sønsterudbråten Karoline </t>
  </si>
  <si>
    <t>2010</t>
  </si>
  <si>
    <t xml:space="preserve"> Egenandel Klubbsamling/Ski-O Treff, Trysil 8-10.1.2010 fra Ullensaker O-lag</t>
  </si>
  <si>
    <t xml:space="preserve"> Egenandel Klubbsamling/Ski-O Treff, Trysil 8-10.1.2010 fra Gjerdrum O-lag</t>
  </si>
  <si>
    <t xml:space="preserve"> Egenandel Klubbsamling/Ski-O Treff, Trysil 8-10.1.2010 fra Eidsvoll O-lag</t>
  </si>
  <si>
    <t xml:space="preserve"> Egenandel Klubbsamling/Ski-O Treff, Trysil 8-10.1.2010 fra Hurdal O-lag</t>
  </si>
  <si>
    <t>Postbanken, gebyr for januar 2010</t>
  </si>
  <si>
    <t>Startkontingent Ski-O-Treff 2010 09.-10.01.2010</t>
  </si>
  <si>
    <t>Startkontingent Ski-O-Treff 2010, 09.-10.01.2010</t>
  </si>
  <si>
    <t>Startkontingent Ski-O-Treff 2010, Stafett 10.01.2010</t>
  </si>
  <si>
    <t>Ski-O-Treff</t>
  </si>
  <si>
    <t>09.-10.01.10</t>
  </si>
  <si>
    <t>Utlegg kveldssamling 20. januar 2010 v/Lene Kinneberg</t>
  </si>
  <si>
    <t>Startkontingent Ski-O-Treff 2009, 09.-11.01.2009</t>
  </si>
  <si>
    <t>Samling Ski-O-Treff 2009, 09.-11.01.2009</t>
  </si>
  <si>
    <t>10.-11.01.09</t>
  </si>
  <si>
    <t>TIO-mila 2009, tilbakebetaling av egenandeler til GOL (Jørgen Stenhammer)</t>
  </si>
  <si>
    <t>Tilskudd fra Eidsvoll O-lag</t>
  </si>
  <si>
    <t>Tilskudd fra Nes O-lag</t>
  </si>
  <si>
    <t>Tilskudd fra Hurdal O-lag</t>
  </si>
  <si>
    <t>Tilskudd fra Frogner IL</t>
  </si>
  <si>
    <t>Tilskudd fra Ullensaker O-lag</t>
  </si>
  <si>
    <t>Påmelding til 10MILA 2010</t>
  </si>
  <si>
    <t>Gebyr Postbanken, påmelding til 10MILA 2010</t>
  </si>
  <si>
    <t>Gebyr Postbanken, påmelding til Nordjysk 2-dagers</t>
  </si>
  <si>
    <t>Startkontingent NM Mellomdist + Nærløp (Ski-O), 23.-24.1.2010</t>
  </si>
  <si>
    <t>Startkontingent Nordjysk 2-dagers, 13.-14.3.2010</t>
  </si>
  <si>
    <t>NM Mellomd.</t>
  </si>
  <si>
    <t>/ Nærløp</t>
  </si>
  <si>
    <t>23.-24.01.10</t>
  </si>
  <si>
    <t>Postbanken, gebyr for februar 2010</t>
  </si>
  <si>
    <t>Påskeløp,</t>
  </si>
  <si>
    <t>Danmark</t>
  </si>
  <si>
    <t>Gebyr Postbanken, påmelding ti lSpringCup, Danmark</t>
  </si>
  <si>
    <t>Startkontingent SpringCup, Danmark, 26.-28.3.2010, individuelt</t>
  </si>
  <si>
    <t>Startkontingent SpringCup, Danmark, 26.-28.3.2010, Stafett</t>
  </si>
  <si>
    <t>-</t>
  </si>
  <si>
    <t>SpringCup</t>
  </si>
  <si>
    <t>Utlegg Raumar/Temakveld 17. februar 2010 v/Lene Kinneberg</t>
  </si>
  <si>
    <t>Honorar Danseinstruktør Raumar/Temakveld 17. februar 2010 til Jarle Witzlinger</t>
  </si>
  <si>
    <t>Gebyr Postbanken, påmelding til SpringCup, Danmark</t>
  </si>
  <si>
    <t>Startkontingent Påskeløp, Danmark, 1.-3.4.2010</t>
  </si>
  <si>
    <t>Gebyr Postbanken, påmelding til Påskeløp, Danmark</t>
  </si>
  <si>
    <t>26.-28.03.10</t>
  </si>
  <si>
    <t>01.-03.04.10</t>
  </si>
  <si>
    <t>Startkontingent NC Ski-O, Lygnaløpet 27.12.2009</t>
  </si>
  <si>
    <t>Lygna</t>
  </si>
  <si>
    <t>Startkontingent Ski-O, Venabu Open 12.12.2009</t>
  </si>
  <si>
    <t>Startkontingent Ski-O, Venabu Open 13.12.2009</t>
  </si>
  <si>
    <t>Purregebyr, Venabu Open</t>
  </si>
  <si>
    <t xml:space="preserve">Venabu </t>
  </si>
  <si>
    <t>Open</t>
  </si>
  <si>
    <t>NM2011 - Kjøp av OCAD lisenser</t>
  </si>
  <si>
    <t>NM2011 - Diverse utgifter</t>
  </si>
  <si>
    <t>NM2011 - Domeneavgift for 08.03.10 - 07.03.11</t>
  </si>
  <si>
    <t>Budsjett for  2010</t>
  </si>
  <si>
    <t>Treningsavgift - 32 stk (400 og 600)</t>
  </si>
  <si>
    <t>Egenandel representasjon (økning fra 25 til 50% egenandel)</t>
  </si>
  <si>
    <t>Likviditetsavsetning til NM 2011</t>
  </si>
  <si>
    <t>Antall Starter 2009</t>
  </si>
  <si>
    <t>fordeling i 2010</t>
  </si>
  <si>
    <t>Sum:</t>
  </si>
  <si>
    <t>Sponsor  (Raumar + NM-2011)</t>
  </si>
  <si>
    <t>Postbanken, gebyr for mars 2010</t>
  </si>
  <si>
    <t>Tilbakebetalt Startkontingent Nordjysk 2-dagers, 13.-14.3.2010</t>
  </si>
  <si>
    <t>Gebyr Postbanken, tilbakebetaling til Nordjysk 2-dagers</t>
  </si>
  <si>
    <t>Lagskontingent til AOOK for 2010</t>
  </si>
  <si>
    <t>Startkontingent Night&amp;Fog 2009/2010</t>
  </si>
  <si>
    <t>Night&amp;Fog</t>
  </si>
  <si>
    <t>Ås</t>
  </si>
  <si>
    <t>2009/2010</t>
  </si>
  <si>
    <t>NM2011 - Mat i forbindelse med møte i HK NM</t>
  </si>
  <si>
    <t>NM2011 - Mat i forbindelse med møte i Løypeleggerkomiteen NM</t>
  </si>
  <si>
    <t>Utlegg BRAVO/Temakveld 24. mars 2010 v/Mariane Haugen</t>
  </si>
  <si>
    <t>Spring Cup 2009, Dekning utlegg, Reise og overnatting v/Aslak Kinneberg</t>
  </si>
  <si>
    <t>Startkontingent Vinter-Tiomila, etappe 5, 16.12.2009</t>
  </si>
  <si>
    <t>Startkontingent Vinter-Tiomila, Røverkollen by Night, 11.11.2009</t>
  </si>
  <si>
    <t>Startkontingent Vinter-Tiomila, etappe 9, 3.3.2010</t>
  </si>
  <si>
    <t>Startkontingent Vinter-Tiomila, etappe 3 og 6, 18.11.2009 og 13.1.2010</t>
  </si>
  <si>
    <t>Vinter-Tiomila</t>
  </si>
  <si>
    <t>Etappe 6</t>
  </si>
  <si>
    <t>Etappe 3</t>
  </si>
  <si>
    <t>Etappe 9</t>
  </si>
  <si>
    <t>Etappe 5</t>
  </si>
  <si>
    <t>Etappe ?</t>
  </si>
  <si>
    <t>Startkontingent Vinter-Tiomila, etappe 3, 18.11.2009</t>
  </si>
  <si>
    <t>Startkontingent Vinter-Tiomila, etappe 6, 13.1.2010</t>
  </si>
  <si>
    <t>Startkontingent Uoff. NM Innendørs</t>
  </si>
  <si>
    <t>Egenandel Landslagssamling i Halden 28-31. januar 2010 v/Vetle Ruud Bråten</t>
  </si>
  <si>
    <t>Startkontingent Uoff. NM Innendørs, 7.3.2010</t>
  </si>
  <si>
    <t>Uoff. NM</t>
  </si>
  <si>
    <t>Innendørs</t>
  </si>
  <si>
    <t>Active Travel Norway - Annonse for 2010</t>
  </si>
  <si>
    <t>Rema 1000, Gjerdrum - Sponsoravtale for 2010</t>
  </si>
  <si>
    <t>Glava AS - Sponsoravtale for 2010</t>
  </si>
  <si>
    <t>OSL - Sponsoravtale for 2010</t>
  </si>
  <si>
    <t>G-Sport Kløfta - Sponsoravtale for 2010</t>
  </si>
  <si>
    <t>Kjøpt drakter 2010, Stine H.Dalberg</t>
  </si>
  <si>
    <t>Kjøpt drakter 2010, Vetle Christiansen</t>
  </si>
  <si>
    <t>Kjøpt drakter 2010, Øystein Løvli</t>
  </si>
  <si>
    <t>Kjøpt drakter 2010, Simen Rustad</t>
  </si>
  <si>
    <t>Kjøpt drakter 2010, Lars Risebrobakken</t>
  </si>
  <si>
    <t>Kjøpt drakter 2010, Marianne Risebrobakken</t>
  </si>
  <si>
    <t>Kjøpt drakter 2010, Erik Hoel</t>
  </si>
  <si>
    <t>Kjøpt drakter 2010, Arnstein Andreassen</t>
  </si>
  <si>
    <t>Overnatting CraftCup 1 og 2 jr og sr + Vårstafetten, Halden 16.-18.4.2010</t>
  </si>
  <si>
    <t>Kjøpt drakter 2010, Harald Aas</t>
  </si>
  <si>
    <t>Kjøpt drakter 2010, Magne Haga</t>
  </si>
  <si>
    <t>Kjøpt drakter 2010, Anita Wennemo</t>
  </si>
  <si>
    <t>Kjøpt drakter 2010, Mari Vegheim</t>
  </si>
  <si>
    <t>Kjøp av konvolutter, frimerker og fakturablanketter v/R. Øien</t>
  </si>
  <si>
    <t>Spring Cup 2009, Dekning utlegg overnatting v/Sondre Ruud Bråten</t>
  </si>
  <si>
    <t>Jukola, utlegg flybilletter v/Terje Bråten</t>
  </si>
  <si>
    <t>Postbanken, gebyr for april 2010</t>
  </si>
  <si>
    <t>Kjøpt drakter 2010, Marianne Haugen</t>
  </si>
  <si>
    <t>Kjøpt drakter 2010, Silje Ekroll Jahren</t>
  </si>
  <si>
    <t>Kjøpt drakter 2010, Øyvind Lund</t>
  </si>
  <si>
    <t>Kjøpt drakter 2010, fam. Kinneberg</t>
  </si>
  <si>
    <t>Kjøpt drakter 2010, Hans Harald Holter</t>
  </si>
  <si>
    <t>Kjøpt drakter 2010, Øyvind Rasen</t>
  </si>
  <si>
    <t>Kjøpt drakter 2010, Solveig Breen</t>
  </si>
  <si>
    <t>Kjøpt drakter 2010, Brage Ekroll Jahren</t>
  </si>
  <si>
    <t xml:space="preserve"> Egenandel Ski-O Treff 2009, 9-11.1.2009 fra Gjerdrum O-lag</t>
  </si>
  <si>
    <t xml:space="preserve"> Egenandel Ski-O Treff 2009, 9-11.1.2009 fra Ullensaker O-lag</t>
  </si>
  <si>
    <t xml:space="preserve"> Egenandel NOF's landslagssamling 28-31.1.2010 fra Ullensaker O-lag</t>
  </si>
  <si>
    <t>Original, kjøp av O-drakter i april 2010</t>
  </si>
  <si>
    <t>Original, kjøp av O-drakter i april 2010, Øyvind Lund</t>
  </si>
  <si>
    <t>Jukola, påmelding med tilleggstjenester</t>
  </si>
  <si>
    <t>Jukola, påmelding med tilleggstjenester, gebyr Postbanken</t>
  </si>
  <si>
    <t>Spring Cup 2009, Dekning utlegg overnatting v/Turid Kamstrup Hovind</t>
  </si>
  <si>
    <t>Spring Cup 2009, Dekning utlegg  v/Ståle Sønsterudbråten</t>
  </si>
  <si>
    <t xml:space="preserve"> Egenandel Spring Cup, 25-28.3.2010 fra Ullensaker O-lag</t>
  </si>
  <si>
    <t xml:space="preserve"> Egenandel Spring Cup, 25-28.3.2010 fra Gjerdrum O-lag</t>
  </si>
  <si>
    <t>Spring Cup 2009, Dekning utlegg  v/Eirik Rustad</t>
  </si>
  <si>
    <t>Kjøpt drakter 2010, Lars Dalgaard</t>
  </si>
  <si>
    <t>Utlegg flybilletter til NM Sprint og CraftCup 12-16.5.2010 v/Terje Bråten</t>
  </si>
  <si>
    <t>Kjøpt drakter 2010, Anne Grethe Rustad</t>
  </si>
  <si>
    <t>Kjøpt drakter 2010, Eirik Rustad</t>
  </si>
  <si>
    <t>Jukola, Startkontingent for det andre herrelaget</t>
  </si>
  <si>
    <t>Jukola, Startkontingent for det andre herrelaget, gebyr postbanken</t>
  </si>
  <si>
    <t>Kjøpt drakter 2010, fam. Hovind</t>
  </si>
  <si>
    <t xml:space="preserve">Kjøpt drakter 2010, Terje Bråten </t>
  </si>
  <si>
    <t>Kjøpt drakter 2010, Trygve Tømta</t>
  </si>
  <si>
    <t>Kretssamling 13-16 år, Halden 9-11 april, dekning reiseutgifter Lene Kinneberg + 4 deltakere</t>
  </si>
  <si>
    <t>Kretssamling 13-16 år, Halden 9-11 april, dekning reiseutgifter Arnstein Andreassen + 3 deltakere</t>
  </si>
  <si>
    <t>Kretssamling 13-16 år, Halden 9-11 april, dekning reiseutgifter Torunn Hoel + 3 deltakere</t>
  </si>
  <si>
    <t>Kretssamling 13-16 år, Halden 9-11 april, dekning reiseutgifter Hanne Sørensen + 3 deltakere</t>
  </si>
  <si>
    <t>Startkontingent KM-Natt (AOOK), 07.04.2010</t>
  </si>
  <si>
    <t>KM-Natt</t>
  </si>
  <si>
    <t>(AOOK)</t>
  </si>
  <si>
    <t>Startkontingent Nattsvermeren, 09.04.2010</t>
  </si>
  <si>
    <t>Natt-</t>
  </si>
  <si>
    <t>svermeren</t>
  </si>
  <si>
    <t>Utlegg mat, leiebil og bensin til NM Sprint og CraftCup 12-16.5.2010 v/Aslak Kinneberg</t>
  </si>
  <si>
    <t>Reiseregning til NM Sprint og CraftCup 12-16.5.2010 v/Øyvind Lund</t>
  </si>
  <si>
    <t>Reise tur/retur 10MILA 2010, leie av buss m/sjåfør</t>
  </si>
  <si>
    <t>Startkontingent Blåveissprinten, 10.04.2010</t>
  </si>
  <si>
    <t>Blåveis-</t>
  </si>
  <si>
    <t>sprinten</t>
  </si>
  <si>
    <t>Startkontingent Skjærgårdsløpet, 01.05.2010</t>
  </si>
  <si>
    <t>Skjærgårds-</t>
  </si>
  <si>
    <t>løpet</t>
  </si>
  <si>
    <t>Startkontingent Smaaleneneløpet, 25.04.2010</t>
  </si>
  <si>
    <t>Smaalenene-</t>
  </si>
  <si>
    <t>Lund Øyvind</t>
  </si>
  <si>
    <t>Startkontingent Austmarkaløpet, 02.05.2010</t>
  </si>
  <si>
    <t>Austmarka-</t>
  </si>
  <si>
    <t>Engen Daniel</t>
  </si>
  <si>
    <t>Refusjon NM Sprint og CraftCup 12-16.5.2010 fra Lillomarka O-lag</t>
  </si>
  <si>
    <t>Egenandel TIO-Mila 2010 fra Ullensaker O-lag</t>
  </si>
  <si>
    <t>Egenandel TIO-Mila 2010 fra Hurdal O-lag</t>
  </si>
  <si>
    <t>Egenandel TIO-Mila 2010 fra Gjerdrum O-lag</t>
  </si>
  <si>
    <t>Egenandel TIO-Mila 2010 fra Frogner IL</t>
  </si>
  <si>
    <t>Egenandel TIO-Mila 2010 fra Eidsvoll O-lag</t>
  </si>
  <si>
    <t>Egenandel NM Sprint og NC Levanger 12.-16.5-2010 fra Ullensaker O-lag</t>
  </si>
  <si>
    <t>Egenandel NM Sprint og NC Levanger 12.-16.5-2010 fra Gjerdrum O-lag</t>
  </si>
  <si>
    <t>Egenandel NM Sprint og NC Levanger 12.-16.5-2010 fra Hurdal O-lag</t>
  </si>
  <si>
    <t>Kjøpt drakter 2010, fam. Rapp</t>
  </si>
  <si>
    <t>NOF, kjøp av kart til påsken 2010</t>
  </si>
  <si>
    <t>Startkontingent SOLrenningen, 18.04.2010</t>
  </si>
  <si>
    <t>SOL-</t>
  </si>
  <si>
    <t>renningen</t>
  </si>
  <si>
    <t>Hagen Steinar        (H17C)</t>
  </si>
  <si>
    <t>Stenslet Hanne (D17C)</t>
  </si>
  <si>
    <t>Hagen Steinar</t>
  </si>
  <si>
    <t>Stenslet Hanne</t>
  </si>
  <si>
    <t>Startkontingent Vårspretten, 17.04.2010</t>
  </si>
  <si>
    <t>Startkontingent Vårstafetten, 17.04.2010</t>
  </si>
  <si>
    <t>Vår-</t>
  </si>
  <si>
    <t>spretten</t>
  </si>
  <si>
    <t>Utlegg overnatting Norwegian Spring 2010, Synnøve Beitnes</t>
  </si>
  <si>
    <t>Startkontingent Lørdagskjappen, 24.04.2010</t>
  </si>
  <si>
    <t>Startkontingent Tyrinatta2010, 21.04.2010</t>
  </si>
  <si>
    <t>Lørdags-</t>
  </si>
  <si>
    <t>kjappen</t>
  </si>
  <si>
    <t>Stenslet Hals Emilie</t>
  </si>
  <si>
    <t>Postbanken, gebyr for mai 2010</t>
  </si>
  <si>
    <t>Kjøpt drakter 2010, fam. Sønsterudbråten, tilleggsbetaling</t>
  </si>
  <si>
    <t>Utlegg reise til Camp Norway i Danmark 11.-14.3.2010 v/Ståle Sønsterudbråten</t>
  </si>
  <si>
    <t>Kjøpt drakter 2010, fam. Sønsterudbråten, avregning mot reiseregning</t>
  </si>
  <si>
    <t>Startkontingent Vårløpet, 08.05.2010</t>
  </si>
  <si>
    <t>Startkontingent Magne Lystads minneløp, 09.05.2010</t>
  </si>
  <si>
    <t>Vårløpet</t>
  </si>
  <si>
    <t>Magne Lystads</t>
  </si>
  <si>
    <t>minneløp</t>
  </si>
  <si>
    <t>Startkontingent Glåmdalsløpet, 08.05.2010</t>
  </si>
  <si>
    <t>Startkontingent Vårløpet, 09.05.2010</t>
  </si>
  <si>
    <t>Glåmdals-</t>
  </si>
  <si>
    <t>Utlegg reise og overnatting til VM testløp i Danmark 21.-24.5.2010 v/Aslak Kinneberg</t>
  </si>
  <si>
    <t>Trengingsavgift for 2010, Karoline Sønsterudbråten</t>
  </si>
  <si>
    <t>Trengingsavgift for 2010, Magne og Håvard Haga</t>
  </si>
  <si>
    <t>Kjøpt drakter 2010, Anne T. Arntzen</t>
  </si>
  <si>
    <t>Trengingsavgift for 2010, Vetle Christiansen</t>
  </si>
  <si>
    <t>Trengingsavgift for 2010, Vilde og Eskil Kinneberg</t>
  </si>
  <si>
    <t>Trengingsavgift for 2010, Amund og Johan Hoel</t>
  </si>
  <si>
    <t>Utlegg reise til VM testløp i Danmark 21.-24.5.2010 v/Terje Bråten</t>
  </si>
  <si>
    <t>Tillegg reiseregning til NM Sprint og CraftCup 12-16.5.2010 v/Terje Bråten</t>
  </si>
  <si>
    <t>Flybilletter til NM Ultralang, Bradufoss v/Terje Bråten</t>
  </si>
  <si>
    <t>Frol, kjøp av kart til trening 14. mai 2010</t>
  </si>
  <si>
    <t>Egenandel vedr. Camp Norway i Danmark 11.-14.3.2010 fra NOF</t>
  </si>
  <si>
    <t>Startkontingent Jubeleumsløp, Eidsvoll, 05.06.2010</t>
  </si>
  <si>
    <t>Jubileumsløp</t>
  </si>
  <si>
    <t xml:space="preserve">Beitnes Mari </t>
  </si>
  <si>
    <t>Brevik Astrid</t>
  </si>
  <si>
    <t>Furulund Marte (D17C)</t>
  </si>
  <si>
    <t>Finstad Frank (H55)</t>
  </si>
  <si>
    <t>Hortemo Cecilie Thorp (D13-16C)</t>
  </si>
  <si>
    <t>Hortemo Anne (D17N)</t>
  </si>
  <si>
    <t>Hauger Markus</t>
  </si>
  <si>
    <t>Kjøren Marte</t>
  </si>
  <si>
    <t>Kvarve Olav (N-åpen)</t>
  </si>
  <si>
    <t>Lundring Martin (H17C)</t>
  </si>
  <si>
    <t>Lundring Hege (D17C)</t>
  </si>
  <si>
    <t>Lundring Fredrik (N-åpen)</t>
  </si>
  <si>
    <t>Lundring Alexandra (N-åpen)</t>
  </si>
  <si>
    <t>Nyerrød Eli Anne</t>
  </si>
  <si>
    <t>Saxhaug Camilla Dehli</t>
  </si>
  <si>
    <t>Saxhaug Simen Dehli</t>
  </si>
  <si>
    <t>Sedin Andreas (H11-12N)</t>
  </si>
  <si>
    <t>Stømsborg Ida (N-åpen)</t>
  </si>
  <si>
    <t>Veiby Fredrik (N-åpen)</t>
  </si>
  <si>
    <t>Veiby Maria (N-åpen)</t>
  </si>
  <si>
    <t>Østberg Sander (N-åpen)</t>
  </si>
  <si>
    <t xml:space="preserve">Essen Magnus </t>
  </si>
  <si>
    <t>Finstad Frank</t>
  </si>
  <si>
    <t>Furulund Marte</t>
  </si>
  <si>
    <t>Hortemo Anne</t>
  </si>
  <si>
    <t>Hortemo Cecilie Thorp</t>
  </si>
  <si>
    <t>Kvarve Olav</t>
  </si>
  <si>
    <t>Lundring Alexandra</t>
  </si>
  <si>
    <t>Lundring Fredrik</t>
  </si>
  <si>
    <t>Lundring Hege</t>
  </si>
  <si>
    <t>Lundring Martin</t>
  </si>
  <si>
    <t>Sedin Andreas</t>
  </si>
  <si>
    <t>Stømsbord Ida</t>
  </si>
  <si>
    <t>Veiby Fredrik</t>
  </si>
  <si>
    <t>Veiby Mariaik</t>
  </si>
  <si>
    <t>Østberg Sander</t>
  </si>
  <si>
    <t>DnB NOR Jessheim - Sponsoravtale for 2010</t>
  </si>
  <si>
    <t>Trengingsavgift for 2010, Åsmund og Oda Wennemo</t>
  </si>
  <si>
    <t>Trengingsavgift for 2010, Tiril, Sondre og Vetle Bråten</t>
  </si>
  <si>
    <t>Trengingsavgift for 2010, Mari Vegheim</t>
  </si>
  <si>
    <t>Trengingsavgift for 2010, Turid, Eirik og Anne Hovind</t>
  </si>
  <si>
    <t>Trengingsavgift for 2010, Silje og Trine Breen</t>
  </si>
  <si>
    <t>Trengingsavgift for 2010, Trygve Tømta</t>
  </si>
  <si>
    <t>Trengingsavgift for 2010, Stine Haga Dalberg</t>
  </si>
  <si>
    <t>Trengingsavgift for 2010, Harald Aas</t>
  </si>
  <si>
    <t>Essen Magnus (N-åpen)</t>
  </si>
  <si>
    <t>Hauger Markus (N-åpen)</t>
  </si>
  <si>
    <t>Kjøren Marte (D17K)</t>
  </si>
  <si>
    <t>Startkontingent Nydalten, 13.05.2010</t>
  </si>
  <si>
    <t>Nydalten</t>
  </si>
  <si>
    <t>Ellingsen Trine Marie</t>
  </si>
  <si>
    <t>Startkontingent Kalnes-Vister, 15.05.2010</t>
  </si>
  <si>
    <t>Startkontingent Folloløpet, 15.05.2010</t>
  </si>
  <si>
    <t>Folloløpet</t>
  </si>
  <si>
    <t>Kalnes-</t>
  </si>
  <si>
    <t>Vister</t>
  </si>
  <si>
    <t>Luka Andrea</t>
  </si>
  <si>
    <t>Trengingsavgift for 2010, Simen Rustad</t>
  </si>
  <si>
    <t>Trengingsavgift for 2010, Eirik Rustad</t>
  </si>
  <si>
    <t>Trengingsavgift for 2010, Synnøve Beitnes</t>
  </si>
  <si>
    <t>Trengingsavgift for 2010, Line Marie Haugen Melby</t>
  </si>
  <si>
    <t>Trengingsavgift for 2010, Øyvind Lund</t>
  </si>
  <si>
    <t>Trengingsavgift for 2010, Petter Fagerhaug</t>
  </si>
  <si>
    <t>Trengingsavgift for 2010, Ivar Andre Ryttervold</t>
  </si>
  <si>
    <t>Trengingsavgift for 2010, Emilie J. Hagen</t>
  </si>
  <si>
    <t>Startkontingent Pinseløpet-Kongsberg, 22.05.2010</t>
  </si>
  <si>
    <t>Startkontingent Elgsprinten, 22.05.2010</t>
  </si>
  <si>
    <t>Pinseløpet-</t>
  </si>
  <si>
    <t>Kongsberg</t>
  </si>
  <si>
    <t>Elgsprinten</t>
  </si>
  <si>
    <t>Startkontingent Pinseløpet-Kongsberg, 23.05.2010</t>
  </si>
  <si>
    <t>Startkontingent Elgdilten, 23.05.2010</t>
  </si>
  <si>
    <t>Elgdilten</t>
  </si>
  <si>
    <t>Faktura på kr. 3.550, dvs en diff på kr. 1.290</t>
  </si>
  <si>
    <t>Startkontingent Pinseløpet-Kongsberg, 24.05.2010</t>
  </si>
  <si>
    <t>Startkontingent Løvspretten, 24.05.2010</t>
  </si>
  <si>
    <t>Løvspretten</t>
  </si>
  <si>
    <t>Haga Ragnhild</t>
  </si>
  <si>
    <t>Tilskudd fra Ullensaker kommune, ABC midler</t>
  </si>
  <si>
    <t>OK Skøynar, kjøp av treningskart i forbindelse med HL</t>
  </si>
  <si>
    <t>Startkontingent Hadelandsløpet, 12.06.2010</t>
  </si>
  <si>
    <t>Startkontingent Kretsløp,mellomdistanse, Vallset/Stange, 30.05.2010</t>
  </si>
  <si>
    <t>Hadelands-</t>
  </si>
  <si>
    <t>Kretsløp mellomd.</t>
  </si>
  <si>
    <t>Vallset/Stange</t>
  </si>
  <si>
    <t>Eidsether Kate</t>
  </si>
  <si>
    <t>Eidsether Tome</t>
  </si>
  <si>
    <t>Saxhaug Berit</t>
  </si>
  <si>
    <t>Saxhaug Lars</t>
  </si>
  <si>
    <t>Saxhaug Roar</t>
  </si>
  <si>
    <t>Nerheim Kirsten Merete</t>
  </si>
  <si>
    <t>Postbanken, gebyr for juni 2010</t>
  </si>
  <si>
    <t>Jukola, transport t/r flyplass i Finland</t>
  </si>
  <si>
    <t>Jukola, transport t/r flyplass i Finland, gebyr postbanken</t>
  </si>
  <si>
    <t>Startkontingent Trondheim Sprintcup, 30.06.2010</t>
  </si>
  <si>
    <t>Trondheim</t>
  </si>
  <si>
    <t>Sprintcup</t>
  </si>
  <si>
    <t>Egenandel Jukola 2010 fra Gjerdrum O-lag</t>
  </si>
  <si>
    <t>Egenandel Jukola 2010 fra Hurdal O-lag</t>
  </si>
  <si>
    <t>Egenandel Jukola 2010 fra Ullensaker O-lag</t>
  </si>
  <si>
    <t>Egenandel Jukola 2010 fra Eidsvolll O-lag</t>
  </si>
  <si>
    <t>Egenandel CraftCup 1og 2 + NM Natt 16-18.4. 2010 fra Gjerdrum O-lag</t>
  </si>
  <si>
    <t>Egenandel CraftCup 1og 2 + NM Natt 16-18.4. 2010 fra Hurdal O-lag</t>
  </si>
  <si>
    <t>Egenandel CraftCup 1og 2 + NM Natt 16-18.4. 2010 fra Ullensaker O-lag</t>
  </si>
  <si>
    <t>Spring Cup 2010, Dekning utlegg, Reise og overnatting v/Aslak Kinneberg</t>
  </si>
  <si>
    <t>Spring Cup 2010, Dekning utlegg overnatting v/Sondre Ruud Bråten</t>
  </si>
  <si>
    <t>Spring Cup 2010, Dekning utlegg overnatting v/Turid Kamstrup Hovind</t>
  </si>
  <si>
    <t>Spring Cup 2010, Dekning utlegg  v/Ståle Sønsterudbråten</t>
  </si>
  <si>
    <t>Spring Cup 2010, Dekning utlegg  v/Eirik Rustad</t>
  </si>
  <si>
    <t>Startkontingent VM test junior Danmark, 22-24.05.2010</t>
  </si>
  <si>
    <t>VM test</t>
  </si>
  <si>
    <t>junior Danmark</t>
  </si>
  <si>
    <t>22.-24.05.10</t>
  </si>
  <si>
    <t>Trener utlegg VM test junior Danmark, 22-24.05.2010</t>
  </si>
  <si>
    <t>NM2011 - Kursmateriell for løypeleggere</t>
  </si>
  <si>
    <t>Egenandel TIO-Mila 2010, tilbakebetalt for mye innbetalt fra Gjerdrum O-lag</t>
  </si>
  <si>
    <t>Startkontingent Huldersprinten, 13.06.2010</t>
  </si>
  <si>
    <t>Hulder-</t>
  </si>
  <si>
    <t>Beitnes Anna</t>
  </si>
  <si>
    <t>HL/O-landsleieren 2010, Deltakeravgift</t>
  </si>
  <si>
    <t>Premie OCC, skal overføres til Eirik Rustad</t>
  </si>
  <si>
    <t>Utlegg reise til VM testløp i Danmark 21.-24.5.2010 v/Geir Grønvold</t>
  </si>
  <si>
    <t>Utgifter sosialt samvær i forbindelse med 15-stafetten 2010</t>
  </si>
  <si>
    <t>Startkontingent O-festivalen 2010, 25.6.2010</t>
  </si>
  <si>
    <t>O-festivaken</t>
  </si>
  <si>
    <t>Hagen Jonas (N-åpen)</t>
  </si>
  <si>
    <t>Startkontingent O-festivalen 2010, 26.6.2010</t>
  </si>
  <si>
    <t>Premie OCC, overført til Eirik Rustad</t>
  </si>
  <si>
    <t>Dekning reiseutlegg til NM Natt + CraftCup 1 og 2 jr og sr, Halden 16.-18.4.2010</t>
  </si>
  <si>
    <t>Startkontingent Ringeriksløpet, 19.6.2010</t>
  </si>
  <si>
    <t>Startkontingent Jonsokløpet, 20.6.2010</t>
  </si>
  <si>
    <t>Ringeriks-</t>
  </si>
  <si>
    <t>Lund Tore</t>
  </si>
  <si>
    <t>Jonsok-</t>
  </si>
  <si>
    <t>Startkontingent Stafett O-festivalen 2010, 27.6.2010</t>
  </si>
  <si>
    <t>Startkontingent Lagkonkurranse O-festivalen 2010, 27.6.2010</t>
  </si>
  <si>
    <t>Startkontingent Elite O-festivalen 2010, 25.-26.6.2010</t>
  </si>
  <si>
    <t>O-festivalen</t>
  </si>
  <si>
    <t>Elite</t>
  </si>
  <si>
    <t>25.-26.06.10</t>
  </si>
  <si>
    <t>Startkontingent NM Sprint 2010, 13.5.2010</t>
  </si>
  <si>
    <t>NM Sprint</t>
  </si>
  <si>
    <t>Jahren Silje</t>
  </si>
  <si>
    <t>CraftCup</t>
  </si>
  <si>
    <t>Startkontingent CraftCup, 15.5.2010</t>
  </si>
  <si>
    <t>Startkontingent CraftCup, 16.5.2010</t>
  </si>
  <si>
    <t>Startkontingent Nasjonalt løp, 15.5.2010</t>
  </si>
  <si>
    <t>Nasjonalt</t>
  </si>
  <si>
    <t>løp</t>
  </si>
  <si>
    <t>Postbanken, gebyr for juli 2010</t>
  </si>
  <si>
    <t>Startkontingent CraftCup 6, 2.7.2010</t>
  </si>
  <si>
    <t>Startkontingent CraftCup 7, 3.7.2010</t>
  </si>
  <si>
    <t>Startkontingent CraftCup 8, 4.7.2010</t>
  </si>
  <si>
    <t>CraftCup 6</t>
  </si>
  <si>
    <t>CraftCup 7</t>
  </si>
  <si>
    <t>CraftCup 8</t>
  </si>
  <si>
    <t>Startkontingent Morokulien 2-dagers,  3.-4.7.2010</t>
  </si>
  <si>
    <t>O-festivalen 2010 - Overnatting Raufoss VDG Skole</t>
  </si>
  <si>
    <t>Startkontingent Morokuliensprinten,  2.7.2010</t>
  </si>
  <si>
    <t>Morokulien-</t>
  </si>
  <si>
    <t>2-dagers</t>
  </si>
  <si>
    <t>03.-04.07.10</t>
  </si>
  <si>
    <t>Startkontingent Fjord-O Nordvestgaloppen,  14.-18.7.2010</t>
  </si>
  <si>
    <t>Startkontingent Ådal 2 dagers,  3.-4.7.2010</t>
  </si>
  <si>
    <t>Ådal</t>
  </si>
  <si>
    <t>Fjord-O</t>
  </si>
  <si>
    <t>Nordvestgaloppen</t>
  </si>
  <si>
    <t>14.-18.07.10</t>
  </si>
  <si>
    <t>Kjøpt drakter 2010 (tilleggsinnbetaling for vest), Brage Ekroll Jahren</t>
  </si>
  <si>
    <t>Egenandel O-festivalen 2010 - Overnatting Raufoss VDG Skole fra Gjerdrum O-lag</t>
  </si>
  <si>
    <t>Startkontingent Fjelldilten, 20.6.2010</t>
  </si>
  <si>
    <t>Startkontingent Lillehammersprinten, 19.6.2010</t>
  </si>
  <si>
    <t>Skiheis Fjelldilten Nautrudstilen 21.6.2010</t>
  </si>
  <si>
    <t>Lillehammer-</t>
  </si>
  <si>
    <t>Fjelldilten</t>
  </si>
  <si>
    <t>Kjøpt drakter 2010 (tilleggsinnbetaling for vest), Mads Aanes Haugen</t>
  </si>
  <si>
    <t>Kjøpt drakter 2010 (tilleggsinnbetaling for vest), Kari K. Hovind</t>
  </si>
  <si>
    <t>Kjøpt drakter 2010 (tilleggsinnbetaling for vest), Hans Harald Holter</t>
  </si>
  <si>
    <t>Kjøpt drakter 2010 (tilleggsinnbetaling for vest), Øyvind Rasen</t>
  </si>
  <si>
    <t>Kjøpt drakter 2010 (tilleggsinnbetaling for vest), Lars og Marianne Risebrobakken</t>
  </si>
  <si>
    <t>Kjøpt drakter 2010 (tilleggsinnbetaling for vest), Vilde Dalgård</t>
  </si>
  <si>
    <t>Kjøpt drakter 2010 (tilleggsinnbetaling for vest), Anne Grethe Rustad</t>
  </si>
  <si>
    <t>Trengingsavgift for 2010, Silje Ekroll Jahren</t>
  </si>
  <si>
    <t>Kjøpt drakter 2010, Heidi Sønsterudbråten</t>
  </si>
  <si>
    <t>Egenandel CraftCup Stjørdal, Overnatting Marie Håvarsen Østmarka OK</t>
  </si>
  <si>
    <t>Egenandel NC, HL, VM Stjørdal fra fam. Haga</t>
  </si>
  <si>
    <t>Egenandel NC, HL, VM Stjørdal fra fam. Wennemo</t>
  </si>
  <si>
    <t>Kjøpt drakter 2010, fam. Jahren</t>
  </si>
  <si>
    <t>Startkontingent O-Land, 11.7.2010</t>
  </si>
  <si>
    <t>O-Land</t>
  </si>
  <si>
    <t>Nyerrød Jens Kristian</t>
  </si>
  <si>
    <t>Reiseutlegg Kretssamling 13-16 år, 19.-20.6.2010 fra Hanne Sørensen</t>
  </si>
  <si>
    <t>Egenandel NC, HL, VM Stjørdal fra fam. Hoel</t>
  </si>
  <si>
    <t>Egenandel NC, HL, VM Stjørdal fra fam. Dalberg</t>
  </si>
  <si>
    <t>Egenandel NC, HL, VM Stjørdal fra fam. Vegheim</t>
  </si>
  <si>
    <t>Egenandel NC, HL, VM Stjørdal fra fam. Melby Haugen</t>
  </si>
  <si>
    <t>Egenandel NC, HL, VM Stjørdal fra Morten Vilbo Sørum</t>
  </si>
  <si>
    <t>Kjøpt drakter 2010, Morten Vilbo Sørum</t>
  </si>
  <si>
    <t>Startkontingent SG2010 Sprintprolog, 8.7.2010</t>
  </si>
  <si>
    <t>Startkontingent Sørlandsgaloppen, 9.-11.7.2010</t>
  </si>
  <si>
    <t>SG2010</t>
  </si>
  <si>
    <t>Sprintprolog</t>
  </si>
  <si>
    <t>Nafstad  Ådne Messel</t>
  </si>
  <si>
    <t>Sørlands-</t>
  </si>
  <si>
    <t>galoppen</t>
  </si>
  <si>
    <t>09.-11.07.10</t>
  </si>
  <si>
    <t>Egenandel NC, HL, VM Stjørdal fra fam. Kinneberg</t>
  </si>
  <si>
    <t>Egenandel NC, HL, VM Stjørdal fra fam. Bråten</t>
  </si>
  <si>
    <t>Kjøpt drakter 2010, fam. Bråten</t>
  </si>
  <si>
    <t>Kjøp av treningskart fra Nydalen Skiklub</t>
  </si>
  <si>
    <t>Startkontingent Gromløpet 6.6.2010</t>
  </si>
  <si>
    <t>Gromløpet</t>
  </si>
  <si>
    <t>NM Ultralang, reiseutlegg leder v/Aslak Kinneberg</t>
  </si>
  <si>
    <t>Overnatting NC, HL, VM Stjørdal august 2010</t>
  </si>
  <si>
    <t>Overnatting NC, HL, VM Stjørdal august 2010 v/Aslak Kinneberg</t>
  </si>
  <si>
    <t>Egenandel VM testløp junior i Danmark fra UOL</t>
  </si>
  <si>
    <t>Egenandel VM testløp junior i Danmark fra GOL</t>
  </si>
  <si>
    <t>Dekning utlegg VM testløp, Overnatting/reise Mathias Bjugan, Wing OK</t>
  </si>
  <si>
    <t>Egenandel NC, HL, VM Stjørdal fra fam. Sønsterudbråten</t>
  </si>
  <si>
    <t>Kjøpt drakter 2010, fam. Engen</t>
  </si>
  <si>
    <t>Kjøpt drakter 2010, fam. Lundring</t>
  </si>
  <si>
    <t>Kjøpt drakter 2010, fam. Sveen</t>
  </si>
  <si>
    <t>10MILA 2010, utlegg til mat m.m. v/Kari K. Hovind</t>
  </si>
  <si>
    <t>Kjøpt drakter 2010, fam. Johnsen</t>
  </si>
  <si>
    <t>Original, kjøp av O-drakter sommer 2010, faktura 29481</t>
  </si>
  <si>
    <t>Original, kjøp av O-drakter sommer 2010, kreditnota til faktura 29481</t>
  </si>
  <si>
    <t>Kjøpt drakter 2010 (tilleggsinnbetaling for manglende mva), Silje E. Jahren</t>
  </si>
  <si>
    <t>Kjøpt drakter 2010, fam. Alnæs</t>
  </si>
  <si>
    <t>Kjøpt drakter 2010, fam. Andreassen</t>
  </si>
  <si>
    <t>Kjøpt drakter 2010, Anne K. Hovind</t>
  </si>
  <si>
    <t>Kjøpt drakter 2010, Astrid Brevik</t>
  </si>
  <si>
    <t>Kjøpt drakter 2010, Turid Framnes</t>
  </si>
  <si>
    <t>Kjøpt drakter 2010, Reidun Flugstad Rygg</t>
  </si>
  <si>
    <t>Kjøpt drakter 2010, Erik Sedin</t>
  </si>
  <si>
    <t>Kjøpt av Hettegensere, Melby/Haugen</t>
  </si>
  <si>
    <t>Kjøpt av Hettegensere, Kinneberg</t>
  </si>
  <si>
    <t>Kjøpt av Hettegensere, S. Beitnes</t>
  </si>
  <si>
    <t>Kjøpt av Hettegensere, Ø. Lund</t>
  </si>
  <si>
    <t>Kjøpt av Hettegensere, Bråten</t>
  </si>
  <si>
    <t>Kjøpt av Hettegensere, Hovind</t>
  </si>
  <si>
    <t>Kjøpt av Hettegensere, M. Haga</t>
  </si>
  <si>
    <t>Kjøpt av Hettegensere, Sønsterudbråten</t>
  </si>
  <si>
    <t>Kjøpt av Hettegensere, A. og J. Hoel</t>
  </si>
  <si>
    <t>Kjøpt av Hettegensere, Ryttervold/Andreassen</t>
  </si>
  <si>
    <t>Kjøpt av Hettegensere, E. Rustad</t>
  </si>
  <si>
    <t>Kjøpt av Hettegensere, P. Fagerhaug</t>
  </si>
  <si>
    <t>Kjøpt av Hettegensere, M. Vegheim</t>
  </si>
  <si>
    <t>Kjøpt av Hettegensere, E. Hagen</t>
  </si>
  <si>
    <t>Kjøpt av Hettegensere, S. Rapp</t>
  </si>
  <si>
    <t>Kjøpt av Hettegensere, S. Dalberg</t>
  </si>
  <si>
    <t>Hovedløpet 2010, Løpsavgift/Startkontingent HL, 10.-11.8.2010</t>
  </si>
  <si>
    <t>Hovedløpet</t>
  </si>
  <si>
    <t>10.-11.08.10</t>
  </si>
  <si>
    <t>Postbanken, gebyr for august 2010</t>
  </si>
  <si>
    <t>Original, kjøp av Hettegensere</t>
  </si>
  <si>
    <t>NM Ultralang, Overnatting, leie av hytter</t>
  </si>
  <si>
    <t>NOF, egenandel Juniorsamling i Polen</t>
  </si>
  <si>
    <t>Nofs Juniorsamling i Polen, egenandel fra GOL</t>
  </si>
  <si>
    <t>Startkontingent Langtrampen, 08.09.2007</t>
  </si>
  <si>
    <t>Startkontingent KM Mellomdistanse, 20.05.2007</t>
  </si>
  <si>
    <t>KM Mellomd.</t>
  </si>
  <si>
    <t>Lang-</t>
  </si>
  <si>
    <t>trampen</t>
  </si>
  <si>
    <t>Startkontingent Langtrampen, 08.09.2007, Olaf Moe</t>
  </si>
  <si>
    <t>Startkontingent Myrtrampen, 22.08.2010</t>
  </si>
  <si>
    <t>Startkontingent Modum 2-dagers, 22.08.2010</t>
  </si>
  <si>
    <t>Myr-</t>
  </si>
  <si>
    <t>Modum</t>
  </si>
  <si>
    <t>Startkontingent NM Ultralang, 28.08.2010</t>
  </si>
  <si>
    <t>NM Ultralang, Bankett</t>
  </si>
  <si>
    <t>NM Ultra-</t>
  </si>
  <si>
    <t>lang</t>
  </si>
  <si>
    <t>Startkontingent Tour de Värmland, 20-22.07.2010</t>
  </si>
  <si>
    <t>Tour de</t>
  </si>
  <si>
    <t>Värmland</t>
  </si>
  <si>
    <t>20.-22.07.10</t>
  </si>
  <si>
    <t>NOFs Juniorsamling i Polen, egenandel fra GOL</t>
  </si>
  <si>
    <t>Egenandel Treningssamling 21.-22.8.10 fra UOL</t>
  </si>
  <si>
    <t>Egenandel Treningssamling 21.-22.8.10 fra GOL</t>
  </si>
  <si>
    <t>Egenandel Treningssamling 21.-22.8.10 fra HOL</t>
  </si>
  <si>
    <t>NM Beitostølen 18.-19.9.2010, Overnatting, leie av hytter</t>
  </si>
  <si>
    <t>Egenandel HL/OLL august 2010 fra GOL</t>
  </si>
  <si>
    <t>Egenandel HL/OLL august 2010 fra UOL</t>
  </si>
  <si>
    <t>Egenandel HL/OLL august 2010 fra FIL</t>
  </si>
  <si>
    <t>Kjøring til NM relatert samling 21.-22.8.210 fra Vetle Ruud Bråten</t>
  </si>
  <si>
    <t>Startkontingent Mini 5-dagers 11.-15.07.2010</t>
  </si>
  <si>
    <t>Mini</t>
  </si>
  <si>
    <t>5-dagers</t>
  </si>
  <si>
    <t>11.-15.07.10</t>
  </si>
  <si>
    <t>Startkontingent KM langdistanse AOOK, 05.09.2010</t>
  </si>
  <si>
    <t>KM lang-</t>
  </si>
  <si>
    <t>distanse AOOK</t>
  </si>
  <si>
    <t>Josh Blatchford</t>
  </si>
  <si>
    <t>Startkontingent KM stafett AOOK/ØOK, 22.08.2010</t>
  </si>
  <si>
    <t>Startkontingent KM stafett AOOK/ØOK, individuelle løpere, 22.08.2010</t>
  </si>
  <si>
    <t>KM Stafett</t>
  </si>
  <si>
    <t>Individuelle løpere</t>
  </si>
  <si>
    <t>Larsson Robin</t>
  </si>
  <si>
    <t>Startkontingent Oslo City Cup 2010</t>
  </si>
  <si>
    <t>Oslo City Cup</t>
  </si>
  <si>
    <t>Johansen Frida</t>
  </si>
  <si>
    <t>Tømta Ingvild</t>
  </si>
  <si>
    <t>Innbetaling fra Norges Idrettsforbund, LAM 2010</t>
  </si>
  <si>
    <t>O-Festivalalliansen, Raumars andel av overskuddet for 2009</t>
  </si>
  <si>
    <t>Student VM 2010 - egenandel fra NOF</t>
  </si>
  <si>
    <t>NM Beitostølen, reiseutgifter, Øyvind Lund</t>
  </si>
  <si>
    <t>NM Beitostølen, reiseutgifter, Harald Aas</t>
  </si>
  <si>
    <t>52</t>
  </si>
  <si>
    <t>Innbetalt fra Heidi Sønsterudbråten</t>
  </si>
  <si>
    <t>Startkontingent Mini 5-dagers 11.-15.07.2010, gebyr postbanken</t>
  </si>
  <si>
    <t>Startkontingent Veteranmesterskapet, 28.08.2010</t>
  </si>
  <si>
    <t>Startkontingent Veteranmesterskapet, 29.08.2010</t>
  </si>
  <si>
    <t>Veteran-</t>
  </si>
  <si>
    <t>mesterskapet</t>
  </si>
  <si>
    <t>Startkontingent NM Langdistanse, 11.09.2010</t>
  </si>
  <si>
    <t>NM Langdistanse, Reisefordeling</t>
  </si>
  <si>
    <t>NM Langdistanse, NM Juniorcup, Reisefordeling</t>
  </si>
  <si>
    <t>Startkontingent NM Stafett, 12.09.2010</t>
  </si>
  <si>
    <t>Startkontingent Craft-Cup sr, 12.09.2010</t>
  </si>
  <si>
    <t>NM 2010, Utlegg Bankett</t>
  </si>
  <si>
    <t>Startkontingent Publikumsløp, 11.09.2010</t>
  </si>
  <si>
    <t>NM Lang-</t>
  </si>
  <si>
    <t>distanse</t>
  </si>
  <si>
    <t>Craft-Cup</t>
  </si>
  <si>
    <t>sr.</t>
  </si>
  <si>
    <t>Publikumsløp</t>
  </si>
  <si>
    <t>NM langd.</t>
  </si>
  <si>
    <t>Innbetaling fra Eidsvoll O-lag, Raumarkarusell 2.9., innbetalt til feil konto</t>
  </si>
  <si>
    <t>Eidsvoll O-lag, Raumarkarusell 2.9., overført til riktig konto</t>
  </si>
  <si>
    <t>Postbanken, gebyr for september 2010</t>
  </si>
  <si>
    <t>Bryllupsgave til Harald Aas</t>
  </si>
  <si>
    <t>Startkontingent Holleia Høstløp, 15.08.2010</t>
  </si>
  <si>
    <t>Holleia</t>
  </si>
  <si>
    <t>Høstløp</t>
  </si>
  <si>
    <t>Startkontingent Romeriksløpet, 04.09.2010</t>
  </si>
  <si>
    <t>Romeriks-</t>
  </si>
  <si>
    <t>Børke Bjørn</t>
  </si>
  <si>
    <t>Hexeberg Maren</t>
  </si>
  <si>
    <t>Ruud Hans Haug</t>
  </si>
  <si>
    <t>Sedin Erik</t>
  </si>
  <si>
    <t>Sørensen Bjørn Tore</t>
  </si>
  <si>
    <t>Sørensen Tom Eivind</t>
  </si>
  <si>
    <t>Tjelta Karen</t>
  </si>
  <si>
    <t>Werner Ove</t>
  </si>
  <si>
    <t>Brevik Hallgeir</t>
  </si>
  <si>
    <t>Berger Marit</t>
  </si>
  <si>
    <t>Grimstad Curt (H17C)</t>
  </si>
  <si>
    <t>Fjellvang Aurora</t>
  </si>
  <si>
    <t>Saxhaug Knut</t>
  </si>
  <si>
    <t>Moltzau Serine</t>
  </si>
  <si>
    <t>Startkontingent Romeriksløpet, 04.09.2010, dobbeltfakturert???</t>
  </si>
  <si>
    <t>Brevik Bjørnar</t>
  </si>
  <si>
    <t>Grimstad Curt</t>
  </si>
  <si>
    <t>KM Sprint</t>
  </si>
  <si>
    <t>NM Beitostølen, reiseutgifter, Vetle Ruud Bråten</t>
  </si>
  <si>
    <t>Egenandel Student-VM 2010 fra UOL</t>
  </si>
  <si>
    <t>Egenandel Camp Norway i Danmark i mars 2010 fra GOL</t>
  </si>
  <si>
    <t>Egenandel Camp Norway i Danmark i mars 2010 fra UOL</t>
  </si>
  <si>
    <t>Startkontingent K. Valstad Minneløp, 30.05.2010</t>
  </si>
  <si>
    <t>Startkontingent 15-stafetten, 29.05.2010</t>
  </si>
  <si>
    <t>K. Valstad</t>
  </si>
  <si>
    <t>Minneløp</t>
  </si>
  <si>
    <t>Startkontingent 15-stafetten + Ungdomstafett, 29.05.2010</t>
  </si>
  <si>
    <t>Startkontingent NM Mellomdistanse, 18.09.2010</t>
  </si>
  <si>
    <t>Startkontingent NM stafett senior, 19.09.2010</t>
  </si>
  <si>
    <t>NM Mellomdistanse, Reisefordeling</t>
  </si>
  <si>
    <t>NM Mellom-</t>
  </si>
  <si>
    <t>Raumardag 17.10.2010 - Egenandel lunsj Hurdalsenteret</t>
  </si>
  <si>
    <t>Treningsopplegg ifbm NM helg Beitostølen, 6 stk à kr. 50,-</t>
  </si>
  <si>
    <t>Leie av smørebod til skifting inkl. mva ifbm NM helg Beitostølen</t>
  </si>
  <si>
    <t>Jukola, ekstrautlegg til bagasje v/Terje Bråten</t>
  </si>
  <si>
    <t>NM Ultralang, leie av biler, forsikring, diesel og treningskart v/Terje Bråten</t>
  </si>
  <si>
    <t>Jukola, Bespisning på Vanta v/Terje Bråten</t>
  </si>
  <si>
    <t>NM Beitostølen, reiseutgifter, Terje Bråten</t>
  </si>
  <si>
    <t>Original, kjøp av O-drakter i oktober 2010</t>
  </si>
  <si>
    <t>AOOK, Vårsamling 13-16 år</t>
  </si>
  <si>
    <t>AOOK, Vårsamling, junior</t>
  </si>
  <si>
    <t>AOOK, sommersamling 13-16 år</t>
  </si>
  <si>
    <t>Original, kjøp av 50 Hettegensere i september 2010</t>
  </si>
  <si>
    <t>Egenandel AOOK, Vårsamling junior fra GOL</t>
  </si>
  <si>
    <t>Egenandel AOOK, Vårsamling junior fra UOL</t>
  </si>
  <si>
    <t>Gravering av vandrepremier</t>
  </si>
  <si>
    <t>Startkontingent Rondslitet, 09.10.2010</t>
  </si>
  <si>
    <t>Startkontingent Furugampen, 03.10.2010</t>
  </si>
  <si>
    <t>Furugampen</t>
  </si>
  <si>
    <t>Rondslitet</t>
  </si>
  <si>
    <t>Startkontingent Rekruttenes O-dag og Oslo GP, 12.09.2009</t>
  </si>
  <si>
    <t>Startkontingent Ivar-o-løpet, 25.09.2010</t>
  </si>
  <si>
    <t>Startkontingent Askerløpet, 26.09.2010</t>
  </si>
  <si>
    <t>Rekruttenes</t>
  </si>
  <si>
    <t>O-dag ++</t>
  </si>
  <si>
    <t>Framnes Håkon Kristiansen</t>
  </si>
  <si>
    <t>Kristiansen Framnes Håkon</t>
  </si>
  <si>
    <t>Johnsen Ole Gunnar</t>
  </si>
  <si>
    <t>Ovesen Marita</t>
  </si>
  <si>
    <t>Sedin Herman</t>
  </si>
  <si>
    <t>Sedin Sigrid</t>
  </si>
  <si>
    <t>Ivar-o-løpet</t>
  </si>
  <si>
    <t>Askerløpet</t>
  </si>
  <si>
    <t>Startkontingent Smalandskavlen, 30.10.2010</t>
  </si>
  <si>
    <t>Kjøpt av Hettegensere, 2 stk, Anne Arntzen</t>
  </si>
  <si>
    <t>Kjøpt av Hettegensere, 2 stk, Simen Rustad</t>
  </si>
  <si>
    <t xml:space="preserve">Smaalandskavlen, gebyr startkontingent </t>
  </si>
  <si>
    <t>Startkontingent Smaalandskavlen, 30.10.2010</t>
  </si>
  <si>
    <t>Salg av hettegensere, 6 stk, Frogner IL</t>
  </si>
  <si>
    <t>Salg av hettegensere, 18 stk, Ullensaker O-lag</t>
  </si>
  <si>
    <t>Salg av hettegensere, 16 stk, Gjerdrum O-lag</t>
  </si>
  <si>
    <t>Egenandel NM-Ultralang fra Gjerdrum O-lag</t>
  </si>
  <si>
    <t>Egenandel NM-Ultralang fra Ullensaker O-lag</t>
  </si>
  <si>
    <t>NM Beitostølen + NM Ultralang, reiseutgifter, Aslak Kinneberg</t>
  </si>
  <si>
    <t>Premier 2010, Premiesentralen AS</t>
  </si>
  <si>
    <t>Postbanken, gebyr for okotber 2010</t>
  </si>
  <si>
    <t>NOF sommerleier 2010</t>
  </si>
  <si>
    <t>Startkontingent Harry Lagerts Nattpokalløp 2010-</t>
  </si>
  <si>
    <t>Egenandel NOF sommerleier 2010 fra UOL</t>
  </si>
  <si>
    <t>Harry Lagert</t>
  </si>
  <si>
    <t>Nattpokalløp</t>
  </si>
  <si>
    <t>sept-okt 2010</t>
  </si>
  <si>
    <t>Startkontingent Harry Lagerts Nattpokalløp 2010</t>
  </si>
  <si>
    <t>Startkontingent Blodslitet, 16.10.2010</t>
  </si>
  <si>
    <t>Blodslitet</t>
  </si>
  <si>
    <t>Provisjon, salg av O-boka</t>
  </si>
  <si>
    <t>Startkontingent Høsbjørløpet, 13.06.2010</t>
  </si>
  <si>
    <t>Høsbjørløpet</t>
  </si>
  <si>
    <t>AOOK, O-troll samling 2010</t>
  </si>
  <si>
    <t>Egenandel NM-2010, Beitostølen fra Eidsvoll O-lag</t>
  </si>
  <si>
    <t>Egenandel NM-2010, Beitostølen fra Gjerdrum O-lag</t>
  </si>
  <si>
    <t>Egenandel NM-2010, Beitostølen fra Hurdal O-lag</t>
  </si>
  <si>
    <t>Egenandel NM-2010, Beitostølen fra Ullensaker O-lag</t>
  </si>
  <si>
    <t>Egenandel NM-2010, Beitostølen fra Rasmus Trane Hansen via Vetle R. Bråten</t>
  </si>
  <si>
    <t>Egenandel NM-2010, Beitostølen fra Søren Swartz via Vetle R. Bråten</t>
  </si>
  <si>
    <t>Kjøpt drakter 2010, Synnøve Beitnes</t>
  </si>
  <si>
    <t>Kjøpt drakter oktober 2010, Ådne M. Nafstad</t>
  </si>
  <si>
    <t>Kjøpt drakter oktober 2010, Synnøve Beitnes</t>
  </si>
  <si>
    <t>Kjøpt drakter oktober 2010, Bjørn Tore Sørensen</t>
  </si>
  <si>
    <t>Innbetaling fra Norges Orienteringdforbund</t>
  </si>
  <si>
    <t>Startkontingent Høst-Tiomilas 7. løp, Gjelleråsen, 10.11.2010</t>
  </si>
  <si>
    <t>Raumardag 17.10.2010 - lunsj Hurdalsenteret</t>
  </si>
  <si>
    <t>Høst-TioMila</t>
  </si>
  <si>
    <t>7. løp</t>
  </si>
  <si>
    <t>Innbetaling fra Hurdal O-lag</t>
  </si>
  <si>
    <t>NM Beitostølen, reiseutgifter, Ragnhild Haga</t>
  </si>
  <si>
    <t>Startkontingent Sprint, OK Skeidi, 11.09.2010</t>
  </si>
  <si>
    <t xml:space="preserve">Sprint, </t>
  </si>
  <si>
    <t>OK Skeidi</t>
  </si>
  <si>
    <t>NM Beitostølen, reiseutgifter, Ståle Sønsterudbråten</t>
  </si>
  <si>
    <t>Oppgradering av førstehjelpseske for treningsgruppa jr/sen</t>
  </si>
  <si>
    <t>Løypetrykking til treninger i 2010</t>
  </si>
  <si>
    <t>Diverse utgifter til BRAVO-samlinger i 2010</t>
  </si>
  <si>
    <t>Startkontingent Lången 2010, 14.11.2010</t>
  </si>
  <si>
    <t>Startkontingent Korten 2010, 13.11.2010</t>
  </si>
  <si>
    <t>Korten</t>
  </si>
  <si>
    <t>Lången</t>
  </si>
  <si>
    <t>Innbetaling fra Hurdal O-lag, gjelder andel startkontingent Raumar O-karusell</t>
  </si>
  <si>
    <t>Andel startkontingent Raumar O-karusell, overføres til korrekt konto</t>
  </si>
  <si>
    <t>Student VM 2010 - egenandel til Eirik Rustad</t>
  </si>
  <si>
    <t>Raumarsamling i Sarpsborg/Halden 21.8-22.8.2010, overnatting</t>
  </si>
  <si>
    <t>Raumarsamling i Sarpsborg/Halden 21.8-22.8.2010, Reiseutlegg Ståle S.</t>
  </si>
  <si>
    <t>Smaalandskavlen 2010, Utlegg til leiebil</t>
  </si>
  <si>
    <t>Smaalandskavlen 2010, Utlegg til overnatting</t>
  </si>
  <si>
    <t>Trenergodtgjørelse Lene Kinneberg, 2010</t>
  </si>
  <si>
    <t>Utlegg til BRAVO-priser v/Marianne Haugen</t>
  </si>
  <si>
    <t>Treningsstipend 2010 til Eskil Kinneberg</t>
  </si>
  <si>
    <t>Treningsstipend 2010 til Oda  Wennemo</t>
  </si>
  <si>
    <t>Kjøpt av Hettegensere, Torunn Hoel</t>
  </si>
  <si>
    <t>Postbanken, gebyr for november 2010</t>
  </si>
  <si>
    <t>Treningsstipend 2010 til Silje E. Jahren</t>
  </si>
  <si>
    <t>Treningsstipend 2010 til Anne K. Hovind</t>
  </si>
  <si>
    <t>Treningsstipend 2010 til Eirik K. Hovind</t>
  </si>
  <si>
    <t>Treningsstipend 2010 til Simen Rustad</t>
  </si>
  <si>
    <t>Treningsstipend 2010 til Eirik Rustad</t>
  </si>
  <si>
    <t>Treningsstipend 2010 til Vetle r. Bråten</t>
  </si>
  <si>
    <t>Treningsstipend 2010 til Ragnhild Haga</t>
  </si>
  <si>
    <t>Treningsstipend 2010 til Sondre R. Bråten</t>
  </si>
  <si>
    <t>Treningsstipend 2010 til Håvard Haga</t>
  </si>
  <si>
    <t>Treningsstipend 2010 til Trine Breen</t>
  </si>
  <si>
    <t>Treningsstipend 2010 til Stine Dalberg</t>
  </si>
  <si>
    <t>Smaalandskavlen 2010, Bensin til leiebil</t>
  </si>
  <si>
    <t>Tillegg trengingsavgift for 2010, Synnøve Beitnes</t>
  </si>
  <si>
    <t>Startkontingent Slottet rundt, 19.09.2010</t>
  </si>
  <si>
    <t>Slottet rundt</t>
  </si>
  <si>
    <t>Frostsprinten</t>
  </si>
  <si>
    <t>Startkontingent Slottet Rundt, 19.09.2010</t>
  </si>
  <si>
    <t>Startkontingent Frostsprinten, 07.11.2010</t>
  </si>
  <si>
    <t>Dekning reiseutgifter HL-forberedende samling i juni 2010 v/Marianne Haugen</t>
  </si>
  <si>
    <t>Startkontingent AL-sprinten og Jættemilen, 13-14.11.2010</t>
  </si>
  <si>
    <t>AL-sprinten</t>
  </si>
  <si>
    <t>&amp; Jættemilen</t>
  </si>
  <si>
    <t>13.-14.11.10</t>
  </si>
  <si>
    <t>Trenergodtgjørelse Ståle Sønsterudbråten, 2010</t>
  </si>
  <si>
    <t>Veivalg -Abonnement for 2011</t>
  </si>
  <si>
    <t>Blekk/papir - Reidar Øien</t>
  </si>
  <si>
    <t>Egenandel Smaalandskavlen 2010 fra Gjerdrum O-lag</t>
  </si>
  <si>
    <t>Egenandel Smaalandskavlen 2010 fra Ullensaker O-lag</t>
  </si>
  <si>
    <t>Hettegensere, tilleggsinnbetaling 7 stk À kr. 160,- fra UOL</t>
  </si>
  <si>
    <t>NOF-Egenandeler Ski-O samlinger høsten 2010</t>
  </si>
  <si>
    <t>Egenandel NOF, Ski-O samlinger høsten 2010 fra UOL</t>
  </si>
  <si>
    <t>Egenandel NOF, Ski-O samlinger høsten 2010 fra GOL</t>
  </si>
  <si>
    <t>Hettegensere, tilleggsinnbetaling 6 stk À kr. 160,- fra FIL</t>
  </si>
  <si>
    <t>Innbetalt reisefordeling Sprint-NM fra Frol</t>
  </si>
  <si>
    <t>Raumarsamling i Sarpsborg/Halden 21.8-22.8.2010, Reiseutlegg Simen Rustad</t>
  </si>
  <si>
    <t>Hettegensere, tilleggsinnbetaling 16 stk À kr. 160,- fra GOL</t>
  </si>
  <si>
    <t>Startkontingent Nattreven, 27.10.2010</t>
  </si>
  <si>
    <t>Startkontingent BsKByNight/Høst Tiomila, 17.11.2010</t>
  </si>
  <si>
    <t>BsKByNight</t>
  </si>
  <si>
    <t>Nattreven</t>
  </si>
  <si>
    <t>Startkontingent KM Sprint, Hedmark, 03.09.2010</t>
  </si>
  <si>
    <t>Hedmark</t>
  </si>
  <si>
    <t>AOOK</t>
  </si>
  <si>
    <t>Startkontingent KM Sprint, AOOK, 01.09.2010</t>
  </si>
  <si>
    <t>GOL - Utlegg print av kart til Raumar treninger</t>
  </si>
  <si>
    <t>NC/Testløp Ski-O Vennabu 10.-12.12.2010, Overnatting og reise fra Aslak Kinneberg</t>
  </si>
  <si>
    <t>FotobokRaumar 2010, som skal selges til medlemer, ført på konto med %-fordeling</t>
  </si>
  <si>
    <t>HL/O-landsleieren 2010, AOOK, reiseutgifter</t>
  </si>
  <si>
    <t>Egenandel NC/Testløp Ski-O Venabu desember 2010 fra Gjerdrum OL</t>
  </si>
  <si>
    <t>NOF, faktura egenandeler for JEC (Junior European Cup), høsten 2010</t>
  </si>
  <si>
    <t>Egenandel JEC, september 2010 fra Gjerdrum OL</t>
  </si>
  <si>
    <t>Egenandel JEC, september 2010 fra Ullensaker OL</t>
  </si>
  <si>
    <t>Camp Norway, Kristiansand desember 2010, kart + overnatting</t>
  </si>
  <si>
    <t>Camp Norway, Kristiansand desember 2010, reise Eskil Kinneberg</t>
  </si>
  <si>
    <t>Camp Norway, Kristiansand desember 2010, reise Eirik Rustad</t>
  </si>
  <si>
    <t>Camp Norway, Kristiansand desember 2010, reise + leiebil Ståle Sønsterudbråten</t>
  </si>
  <si>
    <t>Egenandel NOF, Ski-O samlinger høsten 2010 fra UOL, dobbeltinnbetalt!!!</t>
  </si>
  <si>
    <t>Innbetalt reisefordeling HL/OLL fra OK Skøynar</t>
  </si>
  <si>
    <t>Norges Idrettsforbund - Moms kompensasjon for 2010</t>
  </si>
  <si>
    <t>Moms kompensasjon</t>
  </si>
  <si>
    <t>Camp Norway, Kristiansand des. 2010, egenandeler fra Gjerdrum O-lag, del 1</t>
  </si>
  <si>
    <t>NM2011 - Ikke brukte sponsormidler i 2010 overføres til egen NM-konto</t>
  </si>
  <si>
    <t>Startkontingent Sykkel O-løp Botne/Horten, 25-26.09.2010</t>
  </si>
  <si>
    <t>Sykkel O-løp</t>
  </si>
  <si>
    <t>Botne/Horten</t>
  </si>
  <si>
    <t>25.-26.09.10</t>
  </si>
  <si>
    <t>Postbanken, gebyr for desember 2010</t>
  </si>
  <si>
    <t>Postbanken, renter 2010</t>
  </si>
  <si>
    <t>Startkontingent Ukjente løpere, belastes konto for Administrasjon (52)</t>
  </si>
</sst>
</file>

<file path=xl/styles.xml><?xml version="1.0" encoding="utf-8"?>
<styleSheet xmlns="http://schemas.openxmlformats.org/spreadsheetml/2006/main">
  <numFmts count="5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d/m/yy"/>
    <numFmt numFmtId="186" formatCode="#,##0\1"/>
    <numFmt numFmtId="187" formatCode="#,##0.00_ ;\-#,##0.00\ "/>
    <numFmt numFmtId="188" formatCode="0.00;[Red]0.00"/>
    <numFmt numFmtId="189" formatCode="0.0"/>
    <numFmt numFmtId="190" formatCode="0.0\ %"/>
    <numFmt numFmtId="191" formatCode="#,##0_ ;\-#,##0\ "/>
    <numFmt numFmtId="192" formatCode="d/m/"/>
    <numFmt numFmtId="193" formatCode="mmm/yyyy"/>
    <numFmt numFmtId="194" formatCode="mm/dd/yy"/>
    <numFmt numFmtId="195" formatCode="d\-mmm\-yy"/>
    <numFmt numFmtId="196" formatCode="dd/mm/yy"/>
    <numFmt numFmtId="197" formatCode="#,##0.00;[Red]#,##0.00"/>
    <numFmt numFmtId="198" formatCode="[$-414]d\.\ mmmm\ yyyy"/>
    <numFmt numFmtId="199" formatCode="&quot;Ja&quot;;&quot;Ja&quot;;&quot;Nei&quot;"/>
    <numFmt numFmtId="200" formatCode="&quot;Sann&quot;;&quot;Sann&quot;;&quot;Usann&quot;"/>
    <numFmt numFmtId="201" formatCode="&quot;På&quot;;&quot;På&quot;;&quot;Av&quot;"/>
    <numFmt numFmtId="202" formatCode="dd/mm/yy;@"/>
    <numFmt numFmtId="203" formatCode="#,##0.0"/>
    <numFmt numFmtId="204" formatCode="[&lt;=9999]0000;General"/>
    <numFmt numFmtId="205" formatCode="&quot;kr&quot;\ #,##0.0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8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MS Sans Serif"/>
      <family val="2"/>
    </font>
    <font>
      <sz val="14"/>
      <name val="Arial"/>
      <family val="2"/>
    </font>
    <font>
      <b/>
      <sz val="13.5"/>
      <name val="MS Sans Serif"/>
      <family val="2"/>
    </font>
    <font>
      <sz val="10"/>
      <color indexed="10"/>
      <name val="MS Sans Serif"/>
      <family val="2"/>
    </font>
    <font>
      <sz val="10"/>
      <color indexed="49"/>
      <name val="MS Sans Serif"/>
      <family val="2"/>
    </font>
    <font>
      <sz val="10"/>
      <color indexed="56"/>
      <name val="MS Sans Serif"/>
      <family val="2"/>
    </font>
    <font>
      <sz val="10"/>
      <color indexed="56"/>
      <name val="Arial"/>
      <family val="2"/>
    </font>
    <font>
      <sz val="10"/>
      <color indexed="15"/>
      <name val="MS Sans Serif"/>
      <family val="2"/>
    </font>
    <font>
      <sz val="14"/>
      <color indexed="56"/>
      <name val="Arial"/>
      <family val="2"/>
    </font>
    <font>
      <sz val="14"/>
      <color indexed="56"/>
      <name val="MS Sans Serif"/>
      <family val="2"/>
    </font>
    <font>
      <b/>
      <sz val="11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MS Sans Serif"/>
      <family val="2"/>
    </font>
    <font>
      <sz val="10"/>
      <name val="Calibri"/>
      <family val="2"/>
    </font>
    <font>
      <sz val="8"/>
      <name val="Tahoma"/>
      <family val="2"/>
    </font>
    <font>
      <sz val="8.25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23" borderId="1" applyNumberFormat="0" applyAlignment="0" applyProtection="0"/>
    <xf numFmtId="0" fontId="53" fillId="0" borderId="2" applyNumberFormat="0" applyFill="0" applyAlignment="0" applyProtection="0"/>
    <xf numFmtId="0" fontId="5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6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1" fillId="20" borderId="9" applyNumberFormat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0" fillId="0" borderId="10" xfId="54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10" xfId="54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0" fillId="0" borderId="10" xfId="54" applyNumberFormat="1" applyFon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6" fillId="0" borderId="10" xfId="43" applyNumberFormat="1" applyFont="1" applyFill="1" applyBorder="1" applyAlignment="1">
      <alignment/>
      <protection/>
    </xf>
    <xf numFmtId="4" fontId="6" fillId="0" borderId="10" xfId="43" applyNumberFormat="1" applyFont="1" applyFill="1" applyBorder="1" applyAlignment="1">
      <alignment horizontal="center"/>
      <protection/>
    </xf>
    <xf numFmtId="16" fontId="0" fillId="0" borderId="10" xfId="0" applyNumberForma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4" fontId="7" fillId="0" borderId="10" xfId="54" applyFont="1" applyFill="1" applyBorder="1" applyAlignment="1">
      <alignment/>
    </xf>
    <xf numFmtId="4" fontId="8" fillId="0" borderId="10" xfId="54" applyFont="1" applyFill="1" applyBorder="1" applyAlignment="1">
      <alignment/>
    </xf>
    <xf numFmtId="4" fontId="6" fillId="0" borderId="10" xfId="54" applyFont="1" applyFill="1" applyBorder="1" applyAlignment="1">
      <alignment/>
    </xf>
    <xf numFmtId="4" fontId="0" fillId="0" borderId="10" xfId="54" applyFont="1" applyBorder="1" applyAlignment="1">
      <alignment/>
    </xf>
    <xf numFmtId="3" fontId="6" fillId="0" borderId="10" xfId="54" applyNumberFormat="1" applyFont="1" applyFill="1" applyBorder="1" applyAlignment="1">
      <alignment horizontal="center"/>
    </xf>
    <xf numFmtId="3" fontId="0" fillId="0" borderId="10" xfId="54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171" fontId="0" fillId="0" borderId="10" xfId="0" applyNumberFormat="1" applyBorder="1" applyAlignment="1">
      <alignment horizontal="center"/>
    </xf>
    <xf numFmtId="171" fontId="4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/>
    </xf>
    <xf numFmtId="171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1" fontId="0" fillId="0" borderId="10" xfId="43" applyNumberFormat="1" applyBorder="1" applyAlignment="1">
      <alignment horizontal="center"/>
      <protection/>
    </xf>
    <xf numFmtId="2" fontId="0" fillId="0" borderId="11" xfId="0" applyNumberFormat="1" applyBorder="1" applyAlignment="1">
      <alignment/>
    </xf>
    <xf numFmtId="4" fontId="0" fillId="0" borderId="0" xfId="54" applyFont="1" applyBorder="1" applyAlignment="1">
      <alignment/>
    </xf>
    <xf numFmtId="4" fontId="6" fillId="0" borderId="11" xfId="54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196" fontId="0" fillId="0" borderId="10" xfId="0" applyNumberFormat="1" applyBorder="1" applyAlignment="1">
      <alignment/>
    </xf>
    <xf numFmtId="4" fontId="0" fillId="0" borderId="10" xfId="54" applyNumberFormat="1" applyFont="1" applyBorder="1" applyAlignment="1">
      <alignment/>
    </xf>
    <xf numFmtId="3" fontId="0" fillId="0" borderId="10" xfId="54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" fontId="6" fillId="0" borderId="10" xfId="54" applyFont="1" applyFill="1" applyBorder="1" applyAlignment="1">
      <alignment/>
    </xf>
    <xf numFmtId="4" fontId="0" fillId="0" borderId="10" xfId="54" applyFont="1" applyBorder="1" applyAlignment="1">
      <alignment/>
    </xf>
    <xf numFmtId="0" fontId="5" fillId="0" borderId="10" xfId="0" applyFont="1" applyBorder="1" applyAlignment="1">
      <alignment horizontal="left"/>
    </xf>
    <xf numFmtId="17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6" fillId="0" borderId="12" xfId="54" applyFont="1" applyFill="1" applyBorder="1" applyAlignment="1">
      <alignment/>
    </xf>
    <xf numFmtId="4" fontId="6" fillId="0" borderId="18" xfId="54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 horizontal="left"/>
    </xf>
    <xf numFmtId="3" fontId="6" fillId="0" borderId="10" xfId="54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7" fillId="0" borderId="10" xfId="54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10" xfId="43" applyNumberFormat="1" applyFont="1" applyFill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4" fontId="17" fillId="0" borderId="10" xfId="54" applyNumberFormat="1" applyFont="1" applyFill="1" applyBorder="1" applyAlignment="1">
      <alignment horizontal="center"/>
    </xf>
    <xf numFmtId="4" fontId="16" fillId="0" borderId="10" xfId="54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4" fontId="6" fillId="0" borderId="10" xfId="54" applyNumberFormat="1" applyFont="1" applyFill="1" applyBorder="1" applyAlignment="1">
      <alignment/>
    </xf>
    <xf numFmtId="4" fontId="6" fillId="0" borderId="0" xfId="54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11" fillId="0" borderId="10" xfId="0" applyFon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7" fillId="0" borderId="13" xfId="54" applyFont="1" applyFill="1" applyBorder="1" applyAlignment="1">
      <alignment/>
    </xf>
    <xf numFmtId="2" fontId="0" fillId="0" borderId="13" xfId="0" applyNumberFormat="1" applyBorder="1" applyAlignment="1">
      <alignment/>
    </xf>
    <xf numFmtId="3" fontId="6" fillId="0" borderId="13" xfId="54" applyNumberFormat="1" applyFont="1" applyFill="1" applyBorder="1" applyAlignment="1">
      <alignment/>
    </xf>
    <xf numFmtId="3" fontId="0" fillId="0" borderId="13" xfId="54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" fontId="6" fillId="0" borderId="20" xfId="54" applyFont="1" applyFill="1" applyBorder="1" applyAlignment="1">
      <alignment/>
    </xf>
    <xf numFmtId="4" fontId="0" fillId="0" borderId="20" xfId="54" applyFont="1" applyBorder="1" applyAlignment="1">
      <alignment/>
    </xf>
    <xf numFmtId="4" fontId="0" fillId="0" borderId="20" xfId="0" applyNumberFormat="1" applyBorder="1" applyAlignment="1">
      <alignment/>
    </xf>
    <xf numFmtId="4" fontId="6" fillId="0" borderId="21" xfId="54" applyFont="1" applyFill="1" applyBorder="1" applyAlignment="1">
      <alignment/>
    </xf>
    <xf numFmtId="4" fontId="6" fillId="0" borderId="22" xfId="54" applyFont="1" applyFill="1" applyBorder="1" applyAlignment="1">
      <alignment/>
    </xf>
    <xf numFmtId="4" fontId="0" fillId="0" borderId="20" xfId="54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196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" fontId="0" fillId="0" borderId="10" xfId="54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02" fontId="0" fillId="0" borderId="10" xfId="0" applyNumberFormat="1" applyBorder="1" applyAlignment="1">
      <alignment horizontal="center"/>
    </xf>
    <xf numFmtId="202" fontId="0" fillId="0" borderId="10" xfId="54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2" fontId="0" fillId="0" borderId="10" xfId="5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10" xfId="0" applyNumberFormat="1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202" fontId="0" fillId="0" borderId="10" xfId="54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202" fontId="0" fillId="0" borderId="10" xfId="54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4" fontId="0" fillId="0" borderId="10" xfId="54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54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54" applyFont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4" fontId="0" fillId="16" borderId="10" xfId="0" applyNumberForma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4" fontId="0" fillId="0" borderId="10" xfId="54" applyFont="1" applyBorder="1" applyAlignment="1">
      <alignment/>
    </xf>
    <xf numFmtId="3" fontId="6" fillId="0" borderId="10" xfId="55" applyNumberFormat="1" applyFont="1" applyFill="1" applyBorder="1" applyAlignment="1">
      <alignment horizontal="center"/>
    </xf>
    <xf numFmtId="4" fontId="7" fillId="0" borderId="10" xfId="55" applyFont="1" applyFill="1" applyBorder="1" applyAlignment="1">
      <alignment/>
    </xf>
    <xf numFmtId="4" fontId="8" fillId="0" borderId="10" xfId="55" applyFont="1" applyFill="1" applyBorder="1" applyAlignment="1">
      <alignment/>
    </xf>
    <xf numFmtId="4" fontId="6" fillId="0" borderId="10" xfId="55" applyFont="1" applyFill="1" applyBorder="1" applyAlignment="1">
      <alignment/>
    </xf>
    <xf numFmtId="2" fontId="0" fillId="0" borderId="10" xfId="51" applyNumberFormat="1" applyFont="1" applyBorder="1" applyAlignment="1">
      <alignment horizontal="center"/>
    </xf>
    <xf numFmtId="4" fontId="6" fillId="0" borderId="10" xfId="55" applyFont="1" applyFill="1" applyBorder="1" applyAlignment="1">
      <alignment horizontal="right"/>
    </xf>
    <xf numFmtId="3" fontId="6" fillId="0" borderId="10" xfId="55" applyNumberFormat="1" applyFont="1" applyFill="1" applyBorder="1" applyAlignment="1">
      <alignment/>
    </xf>
    <xf numFmtId="4" fontId="6" fillId="0" borderId="10" xfId="44" applyNumberFormat="1" applyFont="1" applyFill="1" applyBorder="1" applyAlignment="1">
      <alignment horizontal="center"/>
      <protection/>
    </xf>
    <xf numFmtId="49" fontId="6" fillId="0" borderId="10" xfId="44" applyNumberFormat="1" applyFont="1" applyFill="1" applyBorder="1" applyAlignment="1">
      <alignment horizontal="center"/>
      <protection/>
    </xf>
    <xf numFmtId="3" fontId="0" fillId="0" borderId="10" xfId="55" applyNumberFormat="1" applyBorder="1" applyAlignment="1">
      <alignment horizontal="center"/>
    </xf>
    <xf numFmtId="4" fontId="0" fillId="0" borderId="10" xfId="55" applyFont="1" applyBorder="1" applyAlignment="1">
      <alignment/>
    </xf>
    <xf numFmtId="3" fontId="0" fillId="0" borderId="10" xfId="55" applyNumberFormat="1" applyBorder="1" applyAlignment="1">
      <alignment/>
    </xf>
    <xf numFmtId="4" fontId="6" fillId="0" borderId="10" xfId="55" applyFont="1" applyFill="1" applyBorder="1" applyAlignment="1">
      <alignment/>
    </xf>
    <xf numFmtId="4" fontId="6" fillId="0" borderId="10" xfId="55" applyNumberFormat="1" applyFont="1" applyFill="1" applyBorder="1" applyAlignment="1">
      <alignment/>
    </xf>
    <xf numFmtId="3" fontId="6" fillId="0" borderId="0" xfId="55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 horizontal="center"/>
    </xf>
    <xf numFmtId="3" fontId="0" fillId="0" borderId="10" xfId="55" applyNumberFormat="1" applyFont="1" applyBorder="1" applyAlignment="1">
      <alignment/>
    </xf>
    <xf numFmtId="3" fontId="6" fillId="0" borderId="10" xfId="55" applyNumberFormat="1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2" fontId="64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4" fontId="0" fillId="16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196" fontId="0" fillId="0" borderId="10" xfId="0" applyNumberFormat="1" applyFont="1" applyBorder="1" applyAlignment="1">
      <alignment horizontal="center"/>
    </xf>
    <xf numFmtId="4" fontId="0" fillId="0" borderId="10" xfId="54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202" fontId="42" fillId="0" borderId="10" xfId="54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4" fontId="0" fillId="0" borderId="10" xfId="54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02" fontId="0" fillId="0" borderId="10" xfId="54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3" fontId="0" fillId="0" borderId="10" xfId="54" applyNumberFormat="1" applyFont="1" applyBorder="1" applyAlignment="1">
      <alignment horizontal="center"/>
    </xf>
    <xf numFmtId="49" fontId="0" fillId="0" borderId="10" xfId="54" applyNumberFormat="1" applyFont="1" applyBorder="1" applyAlignment="1">
      <alignment horizontal="center"/>
    </xf>
    <xf numFmtId="4" fontId="0" fillId="0" borderId="10" xfId="54" applyFont="1" applyBorder="1" applyAlignment="1">
      <alignment/>
    </xf>
    <xf numFmtId="0" fontId="24" fillId="0" borderId="10" xfId="0" applyFont="1" applyFill="1" applyBorder="1" applyAlignment="1">
      <alignment/>
    </xf>
    <xf numFmtId="202" fontId="0" fillId="0" borderId="10" xfId="54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2" fontId="0" fillId="0" borderId="10" xfId="54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9" fillId="0" borderId="23" xfId="54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" xfId="43"/>
    <cellStyle name="Normal_Ark1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Prosent 2" xfId="51"/>
    <cellStyle name="Tittel" xfId="52"/>
    <cellStyle name="Totalt" xfId="53"/>
    <cellStyle name="Comma" xfId="54"/>
    <cellStyle name="Tusenskille 2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Starter i 2009 
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5"/>
          <c:y val="0.34975"/>
          <c:w val="0.43825"/>
          <c:h val="0.46075"/>
        </c:manualLayout>
      </c:layout>
      <c:pie3DChart>
        <c:varyColors val="1"/>
        <c:ser>
          <c:idx val="0"/>
          <c:order val="0"/>
          <c:tx>
            <c:strRef>
              <c:f/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'startk.2010'!$D$157:$D$162</c:f>
              <c:strCache/>
            </c:strRef>
          </c:cat>
          <c:val>
            <c:numRef>
              <c:f>'startk.2010'!$F$157:$F$162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36475"/>
          <c:w val="0.10325"/>
          <c:h val="0.4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150</xdr:row>
      <xdr:rowOff>0</xdr:rowOff>
    </xdr:from>
    <xdr:to>
      <xdr:col>1</xdr:col>
      <xdr:colOff>523875</xdr:colOff>
      <xdr:row>166</xdr:row>
      <xdr:rowOff>28575</xdr:rowOff>
    </xdr:to>
    <xdr:graphicFrame>
      <xdr:nvGraphicFramePr>
        <xdr:cNvPr id="1" name="Chart 6"/>
        <xdr:cNvGraphicFramePr/>
      </xdr:nvGraphicFramePr>
      <xdr:xfrm>
        <a:off x="161925" y="24326850"/>
        <a:ext cx="40481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ne%20dokumenter\Raumar\budsjett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udsjett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7109375" style="20" customWidth="1"/>
    <col min="2" max="2" width="9.421875" style="1" customWidth="1"/>
    <col min="3" max="3" width="8.57421875" style="1" customWidth="1"/>
    <col min="4" max="4" width="70.421875" style="2" customWidth="1"/>
    <col min="5" max="5" width="13.421875" style="5" customWidth="1"/>
    <col min="6" max="6" width="12.7109375" style="5" customWidth="1"/>
    <col min="7" max="7" width="15.28125" style="1" customWidth="1"/>
    <col min="8" max="11" width="11.421875" style="2" customWidth="1"/>
    <col min="12" max="12" width="19.28125" style="2" customWidth="1"/>
    <col min="13" max="16384" width="11.421875" style="2" customWidth="1"/>
  </cols>
  <sheetData>
    <row r="1" spans="1:7" ht="23.25">
      <c r="A1" s="85" t="s">
        <v>144</v>
      </c>
      <c r="E1" s="187" t="s">
        <v>146</v>
      </c>
      <c r="F1" s="191">
        <f ca="1">TODAY()</f>
        <v>40570</v>
      </c>
      <c r="G1" s="60"/>
    </row>
    <row r="2" ht="6.75" customHeight="1">
      <c r="A2" s="85"/>
    </row>
    <row r="3" spans="1:6" ht="15.75">
      <c r="A3" s="18" t="s">
        <v>288</v>
      </c>
      <c r="D3" s="96"/>
      <c r="E3" s="10"/>
      <c r="F3" s="9"/>
    </row>
    <row r="4" spans="1:6" ht="6.75" customHeight="1">
      <c r="A4" s="18"/>
      <c r="E4" s="10"/>
      <c r="F4" s="9"/>
    </row>
    <row r="5" spans="1:7" ht="12.75">
      <c r="A5" s="19" t="s">
        <v>8</v>
      </c>
      <c r="B5" s="1" t="s">
        <v>9</v>
      </c>
      <c r="C5" s="4" t="s">
        <v>10</v>
      </c>
      <c r="D5" s="13" t="s">
        <v>11</v>
      </c>
      <c r="E5" s="5" t="s">
        <v>5</v>
      </c>
      <c r="F5" s="7" t="s">
        <v>4</v>
      </c>
      <c r="G5" s="60" t="s">
        <v>15</v>
      </c>
    </row>
    <row r="6" spans="1:3" ht="6.75" customHeight="1">
      <c r="A6" s="25"/>
      <c r="B6" s="17"/>
      <c r="C6" s="21"/>
    </row>
    <row r="7" spans="1:7" ht="12.75">
      <c r="A7" s="163">
        <v>40179</v>
      </c>
      <c r="C7" s="4"/>
      <c r="D7" s="71" t="s">
        <v>24</v>
      </c>
      <c r="E7" s="5">
        <v>2755.46</v>
      </c>
      <c r="G7" s="5">
        <f>SUM(E7:F7)</f>
        <v>2755.46</v>
      </c>
    </row>
    <row r="8" spans="1:10" s="149" customFormat="1" ht="12.75">
      <c r="A8" s="184">
        <v>40182</v>
      </c>
      <c r="B8" s="123">
        <v>1</v>
      </c>
      <c r="C8" s="131" t="s">
        <v>14</v>
      </c>
      <c r="D8" s="112" t="s">
        <v>306</v>
      </c>
      <c r="E8" s="111">
        <v>400</v>
      </c>
      <c r="F8" s="199"/>
      <c r="G8" s="200"/>
      <c r="J8" s="201"/>
    </row>
    <row r="9" spans="1:9" s="110" customFormat="1" ht="13.5" customHeight="1">
      <c r="A9" s="164">
        <v>40196</v>
      </c>
      <c r="B9" s="127">
        <v>2</v>
      </c>
      <c r="C9" s="197" t="s">
        <v>34</v>
      </c>
      <c r="D9" s="110" t="s">
        <v>307</v>
      </c>
      <c r="E9" s="170">
        <v>30000</v>
      </c>
      <c r="F9" s="190"/>
      <c r="G9" s="168"/>
      <c r="H9" s="2"/>
      <c r="I9" s="2"/>
    </row>
    <row r="10" spans="1:9" ht="12.75">
      <c r="A10" s="164">
        <v>40203</v>
      </c>
      <c r="B10" s="127">
        <v>3</v>
      </c>
      <c r="C10" s="4">
        <v>52</v>
      </c>
      <c r="D10" s="71" t="s">
        <v>308</v>
      </c>
      <c r="E10" s="5">
        <v>-1229</v>
      </c>
      <c r="G10" s="5"/>
      <c r="H10" s="110"/>
      <c r="I10" s="110"/>
    </row>
    <row r="11" spans="1:7" s="110" customFormat="1" ht="13.5" customHeight="1">
      <c r="A11" s="164">
        <v>40204</v>
      </c>
      <c r="B11" s="127">
        <v>4</v>
      </c>
      <c r="C11" s="131" t="s">
        <v>114</v>
      </c>
      <c r="D11" s="110" t="s">
        <v>310</v>
      </c>
      <c r="E11" s="170">
        <v>-1180</v>
      </c>
      <c r="F11" s="190"/>
      <c r="G11" s="168"/>
    </row>
    <row r="12" spans="1:7" s="110" customFormat="1" ht="13.5" customHeight="1">
      <c r="A12" s="164">
        <v>40204</v>
      </c>
      <c r="B12" s="127">
        <v>5</v>
      </c>
      <c r="C12" s="131" t="s">
        <v>115</v>
      </c>
      <c r="D12" s="110" t="s">
        <v>309</v>
      </c>
      <c r="E12" s="170">
        <v>-680</v>
      </c>
      <c r="F12" s="190"/>
      <c r="G12" s="168"/>
    </row>
    <row r="13" spans="1:7" s="110" customFormat="1" ht="13.5" customHeight="1">
      <c r="A13" s="164">
        <v>40206</v>
      </c>
      <c r="B13" s="127">
        <v>6</v>
      </c>
      <c r="C13" s="131" t="s">
        <v>14</v>
      </c>
      <c r="D13" s="112" t="s">
        <v>318</v>
      </c>
      <c r="E13" s="170">
        <v>300</v>
      </c>
      <c r="F13" s="190"/>
      <c r="G13" s="168"/>
    </row>
    <row r="14" spans="1:7" s="110" customFormat="1" ht="13.5" customHeight="1">
      <c r="A14" s="164">
        <v>40206</v>
      </c>
      <c r="B14" s="127">
        <v>7</v>
      </c>
      <c r="C14" s="131" t="s">
        <v>14</v>
      </c>
      <c r="D14" s="112" t="s">
        <v>319</v>
      </c>
      <c r="E14" s="170">
        <v>300</v>
      </c>
      <c r="F14" s="190"/>
      <c r="G14" s="168"/>
    </row>
    <row r="15" spans="1:9" ht="12.75">
      <c r="A15" s="164">
        <v>40207</v>
      </c>
      <c r="B15" s="1">
        <v>8</v>
      </c>
      <c r="C15" s="4">
        <v>52</v>
      </c>
      <c r="D15" s="159" t="s">
        <v>320</v>
      </c>
      <c r="E15" s="171">
        <v>-6</v>
      </c>
      <c r="F15" s="7"/>
      <c r="G15" s="60"/>
      <c r="H15" s="110"/>
      <c r="I15" s="110"/>
    </row>
    <row r="16" spans="1:7" s="110" customFormat="1" ht="13.5" customHeight="1">
      <c r="A16" s="164">
        <v>40210</v>
      </c>
      <c r="B16" s="127">
        <v>9</v>
      </c>
      <c r="C16" s="131" t="s">
        <v>226</v>
      </c>
      <c r="D16" s="110" t="s">
        <v>326</v>
      </c>
      <c r="E16" s="170">
        <v>-442.47</v>
      </c>
      <c r="F16" s="190"/>
      <c r="G16" s="168"/>
    </row>
    <row r="17" spans="1:7" s="110" customFormat="1" ht="13.5" customHeight="1">
      <c r="A17" s="164">
        <v>40210</v>
      </c>
      <c r="B17" s="127">
        <v>10</v>
      </c>
      <c r="C17" s="131" t="s">
        <v>114</v>
      </c>
      <c r="D17" s="110" t="s">
        <v>322</v>
      </c>
      <c r="E17" s="170">
        <v>-5140</v>
      </c>
      <c r="F17" s="190"/>
      <c r="G17" s="168"/>
    </row>
    <row r="18" spans="1:7" s="110" customFormat="1" ht="13.5" customHeight="1">
      <c r="A18" s="164">
        <v>40210</v>
      </c>
      <c r="B18" s="127">
        <v>10</v>
      </c>
      <c r="C18" s="131" t="s">
        <v>115</v>
      </c>
      <c r="D18" s="110" t="s">
        <v>323</v>
      </c>
      <c r="E18" s="170">
        <v>-2970</v>
      </c>
      <c r="F18" s="190"/>
      <c r="G18" s="168"/>
    </row>
    <row r="19" spans="1:7" s="110" customFormat="1" ht="13.5" customHeight="1">
      <c r="A19" s="164">
        <v>40210</v>
      </c>
      <c r="B19" s="127">
        <v>11</v>
      </c>
      <c r="C19" s="131" t="s">
        <v>14</v>
      </c>
      <c r="D19" s="112" t="s">
        <v>317</v>
      </c>
      <c r="E19" s="170">
        <v>3850</v>
      </c>
      <c r="F19" s="190"/>
      <c r="G19" s="168"/>
    </row>
    <row r="20" spans="1:7" s="110" customFormat="1" ht="13.5" customHeight="1">
      <c r="A20" s="164">
        <v>40214</v>
      </c>
      <c r="B20" s="127">
        <v>12</v>
      </c>
      <c r="C20" s="131" t="s">
        <v>114</v>
      </c>
      <c r="D20" s="110" t="s">
        <v>327</v>
      </c>
      <c r="E20" s="128">
        <f>-(240*4)-(180*9)-(200*3)-(160+80)-(50*3)</f>
        <v>-3570</v>
      </c>
      <c r="F20" s="190"/>
      <c r="G20" s="168"/>
    </row>
    <row r="21" spans="1:8" s="110" customFormat="1" ht="13.5" customHeight="1">
      <c r="A21" s="164">
        <v>40214</v>
      </c>
      <c r="B21" s="127">
        <v>12</v>
      </c>
      <c r="C21" s="131">
        <v>45</v>
      </c>
      <c r="D21" s="110" t="s">
        <v>328</v>
      </c>
      <c r="E21" s="170">
        <f>-18310+3570</f>
        <v>-14740</v>
      </c>
      <c r="F21" s="190"/>
      <c r="G21" s="168"/>
      <c r="H21" s="243"/>
    </row>
    <row r="22" spans="1:10" s="110" customFormat="1" ht="12.75">
      <c r="A22" s="74">
        <v>40217</v>
      </c>
      <c r="B22" s="127">
        <v>13</v>
      </c>
      <c r="C22" s="131" t="s">
        <v>41</v>
      </c>
      <c r="D22" s="112" t="s">
        <v>330</v>
      </c>
      <c r="E22" s="111">
        <v>-600</v>
      </c>
      <c r="F22" s="190"/>
      <c r="G22" s="168"/>
      <c r="J22" s="129"/>
    </row>
    <row r="23" spans="1:7" s="110" customFormat="1" ht="13.5" customHeight="1">
      <c r="A23" s="164">
        <v>40217</v>
      </c>
      <c r="B23" s="127">
        <v>14</v>
      </c>
      <c r="C23" s="197" t="s">
        <v>34</v>
      </c>
      <c r="D23" s="110" t="s">
        <v>331</v>
      </c>
      <c r="E23" s="170">
        <v>4400</v>
      </c>
      <c r="F23" s="190"/>
      <c r="G23" s="168"/>
    </row>
    <row r="24" spans="1:7" s="110" customFormat="1" ht="13.5" customHeight="1">
      <c r="A24" s="164">
        <v>40220</v>
      </c>
      <c r="B24" s="127">
        <v>15</v>
      </c>
      <c r="C24" s="197" t="s">
        <v>34</v>
      </c>
      <c r="D24" s="110" t="s">
        <v>307</v>
      </c>
      <c r="E24" s="170">
        <v>31500</v>
      </c>
      <c r="F24" s="190"/>
      <c r="G24" s="168"/>
    </row>
    <row r="25" spans="1:7" s="110" customFormat="1" ht="13.5" customHeight="1">
      <c r="A25" s="164">
        <v>40220</v>
      </c>
      <c r="B25" s="127">
        <v>16</v>
      </c>
      <c r="C25" s="197" t="s">
        <v>34</v>
      </c>
      <c r="D25" s="110" t="s">
        <v>332</v>
      </c>
      <c r="E25" s="170">
        <v>4000</v>
      </c>
      <c r="F25" s="190"/>
      <c r="G25" s="168"/>
    </row>
    <row r="26" spans="1:7" s="110" customFormat="1" ht="13.5" customHeight="1">
      <c r="A26" s="164">
        <v>40221</v>
      </c>
      <c r="B26" s="127">
        <v>17</v>
      </c>
      <c r="C26" s="197" t="s">
        <v>34</v>
      </c>
      <c r="D26" s="110" t="s">
        <v>333</v>
      </c>
      <c r="E26" s="170">
        <v>5500</v>
      </c>
      <c r="F26" s="190"/>
      <c r="G26" s="168"/>
    </row>
    <row r="27" spans="1:7" s="110" customFormat="1" ht="13.5" customHeight="1">
      <c r="A27" s="164">
        <v>40231</v>
      </c>
      <c r="B27" s="127">
        <v>18</v>
      </c>
      <c r="C27" s="197" t="s">
        <v>34</v>
      </c>
      <c r="D27" s="110" t="s">
        <v>334</v>
      </c>
      <c r="E27" s="170">
        <v>7000</v>
      </c>
      <c r="F27" s="190"/>
      <c r="G27" s="168"/>
    </row>
    <row r="28" spans="1:8" s="110" customFormat="1" ht="13.5" customHeight="1">
      <c r="A28" s="164">
        <v>40235</v>
      </c>
      <c r="B28" s="127">
        <v>19</v>
      </c>
      <c r="C28" s="131" t="s">
        <v>115</v>
      </c>
      <c r="D28" s="110" t="s">
        <v>336</v>
      </c>
      <c r="E28" s="170">
        <v>-31318.76</v>
      </c>
      <c r="F28" s="190"/>
      <c r="G28" s="168"/>
      <c r="H28" s="243"/>
    </row>
    <row r="29" spans="1:9" ht="12.75">
      <c r="A29" s="164">
        <v>40235</v>
      </c>
      <c r="B29" s="1">
        <v>19</v>
      </c>
      <c r="C29" s="4">
        <v>52</v>
      </c>
      <c r="D29" s="159" t="s">
        <v>337</v>
      </c>
      <c r="E29" s="171">
        <v>-30</v>
      </c>
      <c r="F29" s="7"/>
      <c r="G29" s="60"/>
      <c r="H29" s="110"/>
      <c r="I29" s="110"/>
    </row>
    <row r="30" spans="1:7" s="110" customFormat="1" ht="13.5" customHeight="1">
      <c r="A30" s="164">
        <v>40235</v>
      </c>
      <c r="B30" s="127">
        <v>20</v>
      </c>
      <c r="C30" s="131">
        <v>52</v>
      </c>
      <c r="D30" s="110" t="s">
        <v>340</v>
      </c>
      <c r="E30" s="170">
        <v>-706.23</v>
      </c>
      <c r="F30" s="190"/>
      <c r="G30" s="168"/>
    </row>
    <row r="31" spans="1:9" ht="12.75">
      <c r="A31" s="164">
        <v>40235</v>
      </c>
      <c r="B31" s="1">
        <v>20</v>
      </c>
      <c r="C31" s="4">
        <v>52</v>
      </c>
      <c r="D31" s="159" t="s">
        <v>338</v>
      </c>
      <c r="E31" s="171">
        <v>-30</v>
      </c>
      <c r="F31" s="7"/>
      <c r="G31" s="60"/>
      <c r="H31" s="110"/>
      <c r="I31" s="110"/>
    </row>
    <row r="32" spans="1:7" s="110" customFormat="1" ht="13.5" customHeight="1">
      <c r="A32" s="164">
        <v>40235</v>
      </c>
      <c r="B32" s="127">
        <v>21</v>
      </c>
      <c r="C32" s="131" t="s">
        <v>114</v>
      </c>
      <c r="D32" s="110" t="s">
        <v>339</v>
      </c>
      <c r="E32" s="170">
        <v>-1800</v>
      </c>
      <c r="F32" s="190"/>
      <c r="G32" s="168"/>
    </row>
    <row r="33" spans="1:7" s="110" customFormat="1" ht="13.5" customHeight="1">
      <c r="A33" s="164">
        <v>40235</v>
      </c>
      <c r="B33" s="127">
        <v>21</v>
      </c>
      <c r="C33" s="131">
        <v>44</v>
      </c>
      <c r="D33" s="110" t="s">
        <v>339</v>
      </c>
      <c r="E33" s="170">
        <v>-1400</v>
      </c>
      <c r="F33" s="190"/>
      <c r="G33" s="168"/>
    </row>
    <row r="34" spans="1:9" ht="12.75">
      <c r="A34" s="164">
        <v>40235</v>
      </c>
      <c r="B34" s="1">
        <v>22</v>
      </c>
      <c r="C34" s="4">
        <v>52</v>
      </c>
      <c r="D34" s="159" t="s">
        <v>344</v>
      </c>
      <c r="E34" s="171">
        <v>-10</v>
      </c>
      <c r="F34" s="7"/>
      <c r="G34" s="60"/>
      <c r="H34" s="110"/>
      <c r="I34" s="110"/>
    </row>
    <row r="35" spans="1:7" s="110" customFormat="1" ht="13.5" customHeight="1">
      <c r="A35" s="164">
        <v>40240</v>
      </c>
      <c r="B35" s="127">
        <v>23</v>
      </c>
      <c r="C35" s="197" t="s">
        <v>34</v>
      </c>
      <c r="D35" s="110" t="s">
        <v>335</v>
      </c>
      <c r="E35" s="170">
        <v>24000</v>
      </c>
      <c r="F35" s="190"/>
      <c r="G35" s="168"/>
    </row>
    <row r="36" spans="1:7" s="110" customFormat="1" ht="13.5" customHeight="1">
      <c r="A36" s="164">
        <v>40240</v>
      </c>
      <c r="B36" s="127">
        <v>24</v>
      </c>
      <c r="C36" s="131" t="s">
        <v>14</v>
      </c>
      <c r="D36" s="112" t="s">
        <v>316</v>
      </c>
      <c r="E36" s="170">
        <v>3550</v>
      </c>
      <c r="F36" s="190"/>
      <c r="G36" s="168"/>
    </row>
    <row r="37" spans="1:7" s="110" customFormat="1" ht="13.5" customHeight="1">
      <c r="A37" s="164">
        <v>40241</v>
      </c>
      <c r="B37" s="127">
        <v>25</v>
      </c>
      <c r="C37" s="131" t="s">
        <v>114</v>
      </c>
      <c r="D37" s="149" t="s">
        <v>355</v>
      </c>
      <c r="E37" s="170">
        <v>-5681.97</v>
      </c>
      <c r="F37" s="190"/>
      <c r="G37" s="168"/>
    </row>
    <row r="38" spans="1:9" ht="12.75">
      <c r="A38" s="164">
        <v>40241</v>
      </c>
      <c r="B38" s="1">
        <v>25</v>
      </c>
      <c r="C38" s="4">
        <v>52</v>
      </c>
      <c r="D38" s="216" t="s">
        <v>356</v>
      </c>
      <c r="E38" s="171">
        <v>-30</v>
      </c>
      <c r="F38" s="7"/>
      <c r="G38" s="60"/>
      <c r="H38" s="110"/>
      <c r="I38" s="110"/>
    </row>
    <row r="39" spans="1:7" s="110" customFormat="1" ht="13.5" customHeight="1">
      <c r="A39" s="164">
        <v>40241</v>
      </c>
      <c r="B39" s="127">
        <v>26</v>
      </c>
      <c r="C39" s="131" t="s">
        <v>114</v>
      </c>
      <c r="D39" s="149" t="s">
        <v>348</v>
      </c>
      <c r="E39" s="170">
        <v>-1513.01</v>
      </c>
      <c r="F39" s="190"/>
      <c r="G39" s="168"/>
    </row>
    <row r="40" spans="1:7" s="110" customFormat="1" ht="13.5" customHeight="1">
      <c r="A40" s="164">
        <v>40241</v>
      </c>
      <c r="B40" s="127">
        <v>26</v>
      </c>
      <c r="C40" s="131" t="s">
        <v>115</v>
      </c>
      <c r="D40" s="149" t="s">
        <v>349</v>
      </c>
      <c r="E40" s="170">
        <v>-1621.87</v>
      </c>
      <c r="F40" s="190"/>
      <c r="G40" s="168"/>
    </row>
    <row r="41" spans="1:9" ht="12.75">
      <c r="A41" s="164">
        <v>40241</v>
      </c>
      <c r="B41" s="1">
        <v>26</v>
      </c>
      <c r="C41" s="4">
        <v>52</v>
      </c>
      <c r="D41" s="216" t="s">
        <v>354</v>
      </c>
      <c r="E41" s="171">
        <v>-30</v>
      </c>
      <c r="F41" s="7"/>
      <c r="G41" s="60"/>
      <c r="H41" s="110"/>
      <c r="I41" s="110"/>
    </row>
    <row r="42" spans="1:7" s="110" customFormat="1" ht="13.5" customHeight="1">
      <c r="A42" s="164">
        <v>40241</v>
      </c>
      <c r="B42" s="127">
        <v>27</v>
      </c>
      <c r="C42" s="131" t="s">
        <v>226</v>
      </c>
      <c r="D42" s="149" t="s">
        <v>352</v>
      </c>
      <c r="E42" s="170">
        <v>-248</v>
      </c>
      <c r="F42" s="190"/>
      <c r="G42" s="168"/>
    </row>
    <row r="43" spans="1:7" s="110" customFormat="1" ht="13.5" customHeight="1">
      <c r="A43" s="164">
        <v>40241</v>
      </c>
      <c r="B43" s="127">
        <v>28</v>
      </c>
      <c r="C43" s="131" t="s">
        <v>226</v>
      </c>
      <c r="D43" s="149" t="s">
        <v>353</v>
      </c>
      <c r="E43" s="170">
        <v>-500</v>
      </c>
      <c r="F43" s="190"/>
      <c r="G43" s="168"/>
    </row>
    <row r="44" spans="1:7" s="110" customFormat="1" ht="13.5" customHeight="1">
      <c r="A44" s="164">
        <v>40245</v>
      </c>
      <c r="B44" s="127">
        <v>29</v>
      </c>
      <c r="C44" s="131" t="s">
        <v>114</v>
      </c>
      <c r="D44" s="110" t="s">
        <v>359</v>
      </c>
      <c r="E44" s="170">
        <v>-3030</v>
      </c>
      <c r="F44" s="190"/>
      <c r="G44" s="168"/>
    </row>
    <row r="45" spans="1:9" ht="12.75">
      <c r="A45" s="164">
        <v>40259</v>
      </c>
      <c r="B45" s="1">
        <v>30</v>
      </c>
      <c r="C45" s="4">
        <v>55</v>
      </c>
      <c r="D45" s="216" t="s">
        <v>368</v>
      </c>
      <c r="E45" s="171">
        <v>-149</v>
      </c>
      <c r="F45" s="7"/>
      <c r="G45" s="60"/>
      <c r="H45" s="110"/>
      <c r="I45" s="110"/>
    </row>
    <row r="46" spans="1:9" ht="12.75">
      <c r="A46" s="164">
        <v>40259</v>
      </c>
      <c r="B46" s="1">
        <v>31</v>
      </c>
      <c r="C46" s="4">
        <v>55</v>
      </c>
      <c r="D46" s="216" t="s">
        <v>366</v>
      </c>
      <c r="E46" s="171">
        <v>-2139.67</v>
      </c>
      <c r="F46" s="7"/>
      <c r="G46" s="60"/>
      <c r="H46" s="110"/>
      <c r="I46" s="110"/>
    </row>
    <row r="47" spans="1:7" s="110" customFormat="1" ht="13.5" customHeight="1">
      <c r="A47" s="164">
        <v>40266</v>
      </c>
      <c r="B47" s="127">
        <v>32</v>
      </c>
      <c r="C47" s="131" t="s">
        <v>114</v>
      </c>
      <c r="D47" s="110" t="s">
        <v>361</v>
      </c>
      <c r="E47" s="170">
        <v>-2320</v>
      </c>
      <c r="F47" s="190"/>
      <c r="G47" s="168"/>
    </row>
    <row r="48" spans="1:7" s="110" customFormat="1" ht="13.5" customHeight="1">
      <c r="A48" s="164">
        <v>40266</v>
      </c>
      <c r="B48" s="127">
        <v>32</v>
      </c>
      <c r="C48" s="131" t="s">
        <v>114</v>
      </c>
      <c r="D48" s="110" t="s">
        <v>362</v>
      </c>
      <c r="E48" s="170">
        <v>-2130</v>
      </c>
      <c r="F48" s="190"/>
      <c r="G48" s="168"/>
    </row>
    <row r="49" spans="1:9" ht="12.75">
      <c r="A49" s="164">
        <v>40266</v>
      </c>
      <c r="B49" s="127">
        <v>32</v>
      </c>
      <c r="C49" s="4">
        <v>52</v>
      </c>
      <c r="D49" s="216" t="s">
        <v>363</v>
      </c>
      <c r="E49" s="171">
        <v>-50</v>
      </c>
      <c r="F49" s="7"/>
      <c r="G49" s="60"/>
      <c r="H49" s="110"/>
      <c r="I49" s="110"/>
    </row>
    <row r="50" spans="1:9" ht="12.75">
      <c r="A50" s="164">
        <v>40268</v>
      </c>
      <c r="B50" s="1">
        <v>33</v>
      </c>
      <c r="C50" s="4">
        <v>52</v>
      </c>
      <c r="D50" s="159" t="s">
        <v>377</v>
      </c>
      <c r="E50" s="171">
        <v>-12</v>
      </c>
      <c r="F50" s="7"/>
      <c r="G50" s="60"/>
      <c r="H50" s="110"/>
      <c r="I50" s="110"/>
    </row>
    <row r="51" spans="1:7" s="110" customFormat="1" ht="13.5" customHeight="1">
      <c r="A51" s="164">
        <v>40274</v>
      </c>
      <c r="B51" s="127">
        <v>34</v>
      </c>
      <c r="C51" s="197" t="s">
        <v>34</v>
      </c>
      <c r="D51" s="110" t="s">
        <v>335</v>
      </c>
      <c r="E51" s="170">
        <v>19866</v>
      </c>
      <c r="F51" s="190"/>
      <c r="G51" s="168"/>
    </row>
    <row r="52" spans="1:7" s="110" customFormat="1" ht="13.5" customHeight="1">
      <c r="A52" s="164">
        <v>40274</v>
      </c>
      <c r="B52" s="127">
        <v>35</v>
      </c>
      <c r="C52" s="197" t="s">
        <v>34</v>
      </c>
      <c r="D52" s="110" t="s">
        <v>331</v>
      </c>
      <c r="E52" s="170">
        <v>3977</v>
      </c>
      <c r="F52" s="190"/>
      <c r="G52" s="168"/>
    </row>
    <row r="53" spans="1:7" s="110" customFormat="1" ht="13.5" customHeight="1">
      <c r="A53" s="164">
        <v>40274</v>
      </c>
      <c r="B53" s="127">
        <v>36</v>
      </c>
      <c r="C53" s="131">
        <v>52</v>
      </c>
      <c r="D53" s="149" t="s">
        <v>378</v>
      </c>
      <c r="E53" s="170">
        <v>666.33</v>
      </c>
      <c r="F53" s="190"/>
      <c r="G53" s="168"/>
    </row>
    <row r="54" spans="1:9" ht="12.75">
      <c r="A54" s="164">
        <v>40274</v>
      </c>
      <c r="B54" s="127">
        <v>36</v>
      </c>
      <c r="C54" s="4">
        <v>52</v>
      </c>
      <c r="D54" s="216" t="s">
        <v>379</v>
      </c>
      <c r="E54" s="171">
        <v>-50</v>
      </c>
      <c r="F54" s="7"/>
      <c r="G54" s="60"/>
      <c r="H54" s="110"/>
      <c r="I54" s="110"/>
    </row>
    <row r="55" spans="1:7" s="110" customFormat="1" ht="13.5" customHeight="1">
      <c r="A55" s="164">
        <v>40276</v>
      </c>
      <c r="B55" s="127">
        <v>37</v>
      </c>
      <c r="C55" s="197" t="s">
        <v>34</v>
      </c>
      <c r="D55" s="110" t="s">
        <v>332</v>
      </c>
      <c r="E55" s="170">
        <v>2503</v>
      </c>
      <c r="F55" s="190"/>
      <c r="G55" s="168"/>
    </row>
    <row r="56" spans="1:9" ht="12.75">
      <c r="A56" s="74">
        <v>40280</v>
      </c>
      <c r="B56" s="1">
        <v>38</v>
      </c>
      <c r="C56" s="4">
        <v>72</v>
      </c>
      <c r="D56" s="149" t="s">
        <v>380</v>
      </c>
      <c r="E56" s="5">
        <v>-4500</v>
      </c>
      <c r="F56" s="7"/>
      <c r="G56" s="60"/>
      <c r="H56" s="110"/>
      <c r="I56" s="110"/>
    </row>
    <row r="57" spans="1:7" s="110" customFormat="1" ht="13.5" customHeight="1">
      <c r="A57" s="164">
        <v>40282</v>
      </c>
      <c r="B57" s="127">
        <v>39</v>
      </c>
      <c r="C57" s="131" t="s">
        <v>114</v>
      </c>
      <c r="D57" s="149" t="s">
        <v>381</v>
      </c>
      <c r="E57" s="170">
        <v>-50</v>
      </c>
      <c r="F57" s="190"/>
      <c r="G57" s="168"/>
    </row>
    <row r="58" spans="1:9" ht="12.75">
      <c r="A58" s="164">
        <v>40290</v>
      </c>
      <c r="B58" s="1">
        <v>40</v>
      </c>
      <c r="C58" s="4">
        <v>55</v>
      </c>
      <c r="D58" s="216" t="s">
        <v>385</v>
      </c>
      <c r="E58" s="171">
        <v>-568</v>
      </c>
      <c r="F58" s="7"/>
      <c r="G58" s="60"/>
      <c r="H58" s="110"/>
      <c r="I58" s="110"/>
    </row>
    <row r="59" spans="1:9" ht="12.75">
      <c r="A59" s="164">
        <v>40290</v>
      </c>
      <c r="B59" s="1">
        <v>41</v>
      </c>
      <c r="C59" s="4">
        <v>55</v>
      </c>
      <c r="D59" s="216" t="s">
        <v>386</v>
      </c>
      <c r="E59" s="171">
        <v>-295</v>
      </c>
      <c r="F59" s="7"/>
      <c r="G59" s="60"/>
      <c r="H59" s="110"/>
      <c r="I59" s="110"/>
    </row>
    <row r="60" spans="1:9" s="110" customFormat="1" ht="13.5" customHeight="1">
      <c r="A60" s="164">
        <v>40291</v>
      </c>
      <c r="B60" s="127">
        <v>42</v>
      </c>
      <c r="C60" s="131">
        <v>45</v>
      </c>
      <c r="D60" s="149" t="s">
        <v>457</v>
      </c>
      <c r="E60" s="170">
        <v>-875</v>
      </c>
      <c r="F60" s="190"/>
      <c r="G60" s="168"/>
      <c r="H60" s="235"/>
      <c r="I60" s="235"/>
    </row>
    <row r="61" spans="1:7" s="110" customFormat="1" ht="13.5" customHeight="1">
      <c r="A61" s="164">
        <v>40291</v>
      </c>
      <c r="B61" s="127">
        <v>43</v>
      </c>
      <c r="C61" s="131" t="s">
        <v>226</v>
      </c>
      <c r="D61" s="149" t="s">
        <v>387</v>
      </c>
      <c r="E61" s="170">
        <v>-452</v>
      </c>
      <c r="F61" s="190"/>
      <c r="G61" s="168"/>
    </row>
    <row r="62" spans="1:13" ht="12.75">
      <c r="A62" s="164">
        <v>40291</v>
      </c>
      <c r="B62" s="1">
        <v>44</v>
      </c>
      <c r="C62" s="1" t="s">
        <v>115</v>
      </c>
      <c r="D62" s="126" t="s">
        <v>640</v>
      </c>
      <c r="E62" s="5">
        <v>-5691.5</v>
      </c>
      <c r="G62" s="5"/>
      <c r="H62" s="243"/>
      <c r="I62" s="110"/>
      <c r="J62" s="129"/>
      <c r="K62" s="128"/>
      <c r="L62" s="110"/>
      <c r="M62" s="169"/>
    </row>
    <row r="63" spans="1:7" s="110" customFormat="1" ht="13.5" customHeight="1">
      <c r="A63" s="164">
        <v>40294</v>
      </c>
      <c r="B63" s="127">
        <v>45</v>
      </c>
      <c r="C63" s="131">
        <v>44</v>
      </c>
      <c r="D63" s="149" t="s">
        <v>403</v>
      </c>
      <c r="E63" s="170">
        <v>-350</v>
      </c>
      <c r="F63" s="190"/>
      <c r="G63" s="168"/>
    </row>
    <row r="64" spans="1:11" s="126" customFormat="1" ht="12.75">
      <c r="A64" s="184">
        <v>40294</v>
      </c>
      <c r="B64" s="185">
        <v>46</v>
      </c>
      <c r="C64" s="185">
        <v>35</v>
      </c>
      <c r="D64" s="126" t="s">
        <v>411</v>
      </c>
      <c r="E64" s="171">
        <v>395</v>
      </c>
      <c r="F64" s="171"/>
      <c r="G64" s="171"/>
      <c r="H64" s="149"/>
      <c r="I64" s="149"/>
      <c r="J64" s="240"/>
      <c r="K64" s="171"/>
    </row>
    <row r="65" spans="1:11" s="237" customFormat="1" ht="12.75">
      <c r="A65" s="164">
        <v>40294</v>
      </c>
      <c r="B65" s="236">
        <v>47</v>
      </c>
      <c r="C65" s="236">
        <v>35</v>
      </c>
      <c r="D65" s="126" t="s">
        <v>412</v>
      </c>
      <c r="E65" s="171">
        <v>395</v>
      </c>
      <c r="F65" s="238"/>
      <c r="G65" s="238"/>
      <c r="H65" s="279"/>
      <c r="I65" s="279"/>
      <c r="J65" s="239"/>
      <c r="K65" s="238"/>
    </row>
    <row r="66" spans="1:11" s="237" customFormat="1" ht="12.75">
      <c r="A66" s="164">
        <v>40294</v>
      </c>
      <c r="B66" s="236">
        <v>48</v>
      </c>
      <c r="C66" s="236">
        <v>35</v>
      </c>
      <c r="D66" s="126" t="s">
        <v>413</v>
      </c>
      <c r="E66" s="171">
        <v>787.5</v>
      </c>
      <c r="F66" s="238"/>
      <c r="G66" s="238"/>
      <c r="H66" s="279"/>
      <c r="I66" s="279"/>
      <c r="J66" s="239"/>
      <c r="K66" s="238"/>
    </row>
    <row r="67" spans="1:11" s="237" customFormat="1" ht="12.75">
      <c r="A67" s="164">
        <v>40294</v>
      </c>
      <c r="B67" s="236">
        <v>49</v>
      </c>
      <c r="C67" s="236">
        <v>35</v>
      </c>
      <c r="D67" s="126" t="s">
        <v>414</v>
      </c>
      <c r="E67" s="171">
        <v>1602.5</v>
      </c>
      <c r="F67" s="238"/>
      <c r="G67" s="238"/>
      <c r="H67" s="279"/>
      <c r="I67" s="279"/>
      <c r="J67" s="239"/>
      <c r="K67" s="238"/>
    </row>
    <row r="68" spans="1:8" s="110" customFormat="1" ht="13.5" customHeight="1">
      <c r="A68" s="164">
        <v>40295</v>
      </c>
      <c r="B68" s="127">
        <v>50</v>
      </c>
      <c r="C68" s="131">
        <v>45</v>
      </c>
      <c r="D68" s="149" t="s">
        <v>402</v>
      </c>
      <c r="E68" s="170">
        <v>-1200</v>
      </c>
      <c r="F68" s="190"/>
      <c r="G68" s="168"/>
      <c r="H68" s="243"/>
    </row>
    <row r="69" spans="1:7" s="110" customFormat="1" ht="13.5" customHeight="1">
      <c r="A69" s="164">
        <v>40295</v>
      </c>
      <c r="B69" s="127">
        <v>51</v>
      </c>
      <c r="C69" s="131" t="s">
        <v>114</v>
      </c>
      <c r="D69" s="149" t="s">
        <v>390</v>
      </c>
      <c r="E69" s="170">
        <v>-480</v>
      </c>
      <c r="F69" s="190"/>
      <c r="G69" s="168"/>
    </row>
    <row r="70" spans="1:7" s="110" customFormat="1" ht="13.5" customHeight="1">
      <c r="A70" s="164">
        <v>40295</v>
      </c>
      <c r="B70" s="127">
        <v>52</v>
      </c>
      <c r="C70" s="131" t="s">
        <v>114</v>
      </c>
      <c r="D70" s="149" t="s">
        <v>389</v>
      </c>
      <c r="E70" s="170">
        <v>-300</v>
      </c>
      <c r="F70" s="190"/>
      <c r="G70" s="168"/>
    </row>
    <row r="71" spans="1:7" s="110" customFormat="1" ht="13.5" customHeight="1">
      <c r="A71" s="164">
        <v>40295</v>
      </c>
      <c r="B71" s="127">
        <v>53</v>
      </c>
      <c r="C71" s="131" t="s">
        <v>114</v>
      </c>
      <c r="D71" s="149" t="s">
        <v>391</v>
      </c>
      <c r="E71" s="170">
        <v>-180</v>
      </c>
      <c r="F71" s="190"/>
      <c r="G71" s="168"/>
    </row>
    <row r="72" spans="1:11" s="126" customFormat="1" ht="12.75">
      <c r="A72" s="184">
        <v>40296</v>
      </c>
      <c r="B72" s="185">
        <v>54</v>
      </c>
      <c r="C72" s="185">
        <v>35</v>
      </c>
      <c r="D72" s="126" t="s">
        <v>415</v>
      </c>
      <c r="E72" s="171">
        <v>387.5</v>
      </c>
      <c r="F72" s="171"/>
      <c r="G72" s="171"/>
      <c r="H72" s="149"/>
      <c r="I72" s="149"/>
      <c r="J72" s="240"/>
      <c r="K72" s="171"/>
    </row>
    <row r="73" spans="1:11" s="126" customFormat="1" ht="12.75">
      <c r="A73" s="184">
        <v>40296</v>
      </c>
      <c r="B73" s="185">
        <v>54</v>
      </c>
      <c r="C73" s="185">
        <v>35</v>
      </c>
      <c r="D73" s="126" t="s">
        <v>416</v>
      </c>
      <c r="E73" s="171">
        <v>1375</v>
      </c>
      <c r="F73" s="171"/>
      <c r="G73" s="171"/>
      <c r="H73" s="149"/>
      <c r="I73" s="149"/>
      <c r="J73" s="240"/>
      <c r="K73" s="171"/>
    </row>
    <row r="74" spans="1:11" s="126" customFormat="1" ht="12.75">
      <c r="A74" s="184">
        <v>40296</v>
      </c>
      <c r="B74" s="185">
        <v>55</v>
      </c>
      <c r="C74" s="185">
        <v>35</v>
      </c>
      <c r="D74" s="126" t="s">
        <v>417</v>
      </c>
      <c r="E74" s="171">
        <v>3943.75</v>
      </c>
      <c r="F74" s="171"/>
      <c r="G74" s="171"/>
      <c r="H74" s="149"/>
      <c r="I74" s="149"/>
      <c r="J74" s="240"/>
      <c r="K74" s="171"/>
    </row>
    <row r="75" spans="1:11" s="126" customFormat="1" ht="12.75">
      <c r="A75" s="184">
        <v>40296</v>
      </c>
      <c r="B75" s="185">
        <v>56</v>
      </c>
      <c r="C75" s="185">
        <v>35</v>
      </c>
      <c r="D75" s="126" t="s">
        <v>418</v>
      </c>
      <c r="E75" s="171">
        <v>2936.25</v>
      </c>
      <c r="F75" s="171"/>
      <c r="G75" s="171"/>
      <c r="H75" s="149"/>
      <c r="I75" s="149"/>
      <c r="J75" s="240"/>
      <c r="K75" s="171"/>
    </row>
    <row r="76" spans="1:8" s="110" customFormat="1" ht="13.5" customHeight="1">
      <c r="A76" s="164">
        <v>40297</v>
      </c>
      <c r="B76" s="127">
        <v>57</v>
      </c>
      <c r="C76" s="131">
        <v>45</v>
      </c>
      <c r="D76" s="149" t="s">
        <v>419</v>
      </c>
      <c r="E76" s="170">
        <v>-12350</v>
      </c>
      <c r="F76" s="190"/>
      <c r="G76" s="168"/>
      <c r="H76" s="243"/>
    </row>
    <row r="77" spans="1:11" s="126" customFormat="1" ht="12.75">
      <c r="A77" s="184">
        <v>40297</v>
      </c>
      <c r="B77" s="185">
        <v>58</v>
      </c>
      <c r="C77" s="185">
        <v>35</v>
      </c>
      <c r="D77" s="126" t="s">
        <v>420</v>
      </c>
      <c r="E77" s="171">
        <v>632.5</v>
      </c>
      <c r="F77" s="171"/>
      <c r="G77" s="171"/>
      <c r="H77" s="149"/>
      <c r="I77" s="149"/>
      <c r="J77" s="240"/>
      <c r="K77" s="171"/>
    </row>
    <row r="78" spans="1:11" s="126" customFormat="1" ht="12.75">
      <c r="A78" s="184">
        <v>40297</v>
      </c>
      <c r="B78" s="185">
        <v>59</v>
      </c>
      <c r="C78" s="185">
        <v>35</v>
      </c>
      <c r="D78" s="126" t="s">
        <v>421</v>
      </c>
      <c r="E78" s="171">
        <v>2415</v>
      </c>
      <c r="F78" s="171"/>
      <c r="G78" s="171"/>
      <c r="H78" s="149"/>
      <c r="I78" s="149"/>
      <c r="J78" s="240"/>
      <c r="K78" s="171"/>
    </row>
    <row r="79" spans="1:11" s="126" customFormat="1" ht="12.75">
      <c r="A79" s="184">
        <v>40297</v>
      </c>
      <c r="B79" s="185">
        <v>60</v>
      </c>
      <c r="C79" s="185">
        <v>35</v>
      </c>
      <c r="D79" s="126" t="s">
        <v>422</v>
      </c>
      <c r="E79" s="171">
        <v>4162.5</v>
      </c>
      <c r="F79" s="171"/>
      <c r="G79" s="171"/>
      <c r="H79" s="149"/>
      <c r="I79" s="149"/>
      <c r="J79" s="240"/>
      <c r="K79" s="171"/>
    </row>
    <row r="80" spans="1:11" s="126" customFormat="1" ht="12.75">
      <c r="A80" s="184">
        <v>40297</v>
      </c>
      <c r="B80" s="185">
        <v>61</v>
      </c>
      <c r="C80" s="185">
        <v>35</v>
      </c>
      <c r="D80" s="126" t="s">
        <v>423</v>
      </c>
      <c r="E80" s="171">
        <v>395</v>
      </c>
      <c r="F80" s="171"/>
      <c r="G80" s="171"/>
      <c r="H80" s="149"/>
      <c r="I80" s="149"/>
      <c r="J80" s="240"/>
      <c r="K80" s="171"/>
    </row>
    <row r="81" spans="1:7" s="149" customFormat="1" ht="13.5" customHeight="1">
      <c r="A81" s="184">
        <v>40297</v>
      </c>
      <c r="B81" s="123">
        <v>62</v>
      </c>
      <c r="C81" s="241" t="s">
        <v>34</v>
      </c>
      <c r="D81" s="149" t="s">
        <v>334</v>
      </c>
      <c r="E81" s="170">
        <v>8889</v>
      </c>
      <c r="F81" s="199"/>
      <c r="G81" s="200"/>
    </row>
    <row r="82" spans="1:7" s="110" customFormat="1" ht="13.5" customHeight="1">
      <c r="A82" s="164">
        <v>40298</v>
      </c>
      <c r="B82" s="127">
        <v>63</v>
      </c>
      <c r="C82" s="131" t="s">
        <v>114</v>
      </c>
      <c r="D82" s="149" t="s">
        <v>392</v>
      </c>
      <c r="E82" s="170">
        <v>-480</v>
      </c>
      <c r="F82" s="190"/>
      <c r="G82" s="168"/>
    </row>
    <row r="83" spans="1:9" ht="12.75">
      <c r="A83" s="164">
        <v>40298</v>
      </c>
      <c r="B83" s="127">
        <v>64</v>
      </c>
      <c r="C83" s="4">
        <v>52</v>
      </c>
      <c r="D83" s="216" t="s">
        <v>424</v>
      </c>
      <c r="E83" s="171">
        <v>-145</v>
      </c>
      <c r="F83" s="7"/>
      <c r="G83" s="60"/>
      <c r="H83" s="110"/>
      <c r="I83" s="110"/>
    </row>
    <row r="84" spans="1:13" ht="12.75">
      <c r="A84" s="164">
        <v>40298</v>
      </c>
      <c r="B84" s="1">
        <v>65</v>
      </c>
      <c r="C84" s="1" t="s">
        <v>115</v>
      </c>
      <c r="D84" s="126" t="s">
        <v>641</v>
      </c>
      <c r="E84" s="5">
        <v>-755</v>
      </c>
      <c r="G84" s="5"/>
      <c r="H84" s="243"/>
      <c r="I84" s="110"/>
      <c r="J84" s="129"/>
      <c r="K84" s="128"/>
      <c r="L84" s="110"/>
      <c r="M84" s="169"/>
    </row>
    <row r="85" spans="1:13" ht="12.75">
      <c r="A85" s="164">
        <v>40298</v>
      </c>
      <c r="B85" s="1">
        <v>66</v>
      </c>
      <c r="C85" s="1" t="s">
        <v>115</v>
      </c>
      <c r="D85" s="126" t="s">
        <v>426</v>
      </c>
      <c r="E85" s="5">
        <v>-15893</v>
      </c>
      <c r="G85" s="5"/>
      <c r="H85" s="243"/>
      <c r="I85" s="110"/>
      <c r="J85" s="129"/>
      <c r="K85" s="128"/>
      <c r="L85" s="110"/>
      <c r="M85" s="169"/>
    </row>
    <row r="86" spans="1:9" ht="12.75">
      <c r="A86" s="164">
        <v>40298</v>
      </c>
      <c r="B86" s="1">
        <v>67</v>
      </c>
      <c r="C86" s="4">
        <v>52</v>
      </c>
      <c r="D86" s="159" t="s">
        <v>427</v>
      </c>
      <c r="E86" s="171">
        <v>-34</v>
      </c>
      <c r="F86" s="7"/>
      <c r="G86" s="60"/>
      <c r="H86" s="110"/>
      <c r="I86" s="110"/>
    </row>
    <row r="87" spans="1:11" s="126" customFormat="1" ht="12.75">
      <c r="A87" s="184">
        <v>40301</v>
      </c>
      <c r="B87" s="185">
        <v>68</v>
      </c>
      <c r="C87" s="185">
        <v>35</v>
      </c>
      <c r="D87" s="126" t="s">
        <v>428</v>
      </c>
      <c r="E87" s="171">
        <v>4345</v>
      </c>
      <c r="F87" s="171"/>
      <c r="G87" s="171"/>
      <c r="H87" s="149"/>
      <c r="I87" s="149"/>
      <c r="J87" s="240"/>
      <c r="K87" s="171"/>
    </row>
    <row r="88" spans="1:11" s="126" customFormat="1" ht="12.75">
      <c r="A88" s="184">
        <v>40301</v>
      </c>
      <c r="B88" s="185">
        <v>69</v>
      </c>
      <c r="C88" s="185">
        <v>35</v>
      </c>
      <c r="D88" s="126" t="s">
        <v>422</v>
      </c>
      <c r="E88" s="171">
        <v>1775</v>
      </c>
      <c r="F88" s="171"/>
      <c r="G88" s="171"/>
      <c r="H88" s="149"/>
      <c r="I88" s="149"/>
      <c r="J88" s="240"/>
      <c r="K88" s="171"/>
    </row>
    <row r="89" spans="1:13" ht="12.75">
      <c r="A89" s="164">
        <v>40301</v>
      </c>
      <c r="B89" s="1">
        <v>70</v>
      </c>
      <c r="C89" s="185">
        <v>44</v>
      </c>
      <c r="D89" s="126" t="s">
        <v>449</v>
      </c>
      <c r="E89" s="5">
        <v>-18900</v>
      </c>
      <c r="G89" s="5"/>
      <c r="H89" s="243"/>
      <c r="I89" s="110"/>
      <c r="J89" s="129"/>
      <c r="K89" s="128"/>
      <c r="L89" s="110"/>
      <c r="M89" s="169"/>
    </row>
    <row r="90" spans="1:7" s="110" customFormat="1" ht="13.5" customHeight="1">
      <c r="A90" s="164">
        <v>40301</v>
      </c>
      <c r="B90" s="127">
        <v>71</v>
      </c>
      <c r="C90" s="197" t="s">
        <v>34</v>
      </c>
      <c r="D90" s="110" t="s">
        <v>307</v>
      </c>
      <c r="E90" s="170">
        <v>40756</v>
      </c>
      <c r="F90" s="190"/>
      <c r="G90" s="168"/>
    </row>
    <row r="91" spans="1:12" s="126" customFormat="1" ht="12.75">
      <c r="A91" s="184">
        <v>40303</v>
      </c>
      <c r="B91" s="185">
        <v>72</v>
      </c>
      <c r="C91" s="185">
        <v>35</v>
      </c>
      <c r="D91" s="126" t="s">
        <v>429</v>
      </c>
      <c r="E91" s="171">
        <v>626</v>
      </c>
      <c r="F91" s="171"/>
      <c r="G91" s="171"/>
      <c r="H91" s="243"/>
      <c r="I91" s="110"/>
      <c r="J91" s="110"/>
      <c r="K91" s="110"/>
      <c r="L91" s="110"/>
    </row>
    <row r="92" spans="1:11" s="126" customFormat="1" ht="12.75">
      <c r="A92" s="184">
        <v>40303</v>
      </c>
      <c r="B92" s="185">
        <v>73</v>
      </c>
      <c r="C92" s="185">
        <v>35</v>
      </c>
      <c r="D92" s="126" t="s">
        <v>430</v>
      </c>
      <c r="E92" s="171">
        <v>395</v>
      </c>
      <c r="F92" s="171"/>
      <c r="G92" s="171"/>
      <c r="H92" s="149"/>
      <c r="I92" s="149"/>
      <c r="J92" s="240"/>
      <c r="K92" s="171"/>
    </row>
    <row r="93" spans="1:11" s="126" customFormat="1" ht="12.75">
      <c r="A93" s="184">
        <v>40304</v>
      </c>
      <c r="B93" s="185">
        <v>74</v>
      </c>
      <c r="C93" s="185">
        <v>35</v>
      </c>
      <c r="D93" s="126" t="s">
        <v>432</v>
      </c>
      <c r="E93" s="171">
        <v>400</v>
      </c>
      <c r="F93" s="171"/>
      <c r="G93" s="171"/>
      <c r="H93" s="243"/>
      <c r="I93" s="149"/>
      <c r="J93" s="201"/>
      <c r="K93" s="170"/>
    </row>
    <row r="94" spans="1:11" s="126" customFormat="1" ht="12.75">
      <c r="A94" s="184">
        <v>40304</v>
      </c>
      <c r="B94" s="185">
        <v>75</v>
      </c>
      <c r="C94" s="185">
        <v>35</v>
      </c>
      <c r="D94" s="126" t="s">
        <v>431</v>
      </c>
      <c r="E94" s="171">
        <v>6077.5</v>
      </c>
      <c r="F94" s="171"/>
      <c r="G94" s="171"/>
      <c r="H94" s="149"/>
      <c r="I94" s="149"/>
      <c r="J94" s="240"/>
      <c r="K94" s="171"/>
    </row>
    <row r="95" spans="1:9" ht="12.75">
      <c r="A95" s="164">
        <v>40304</v>
      </c>
      <c r="B95" s="1">
        <v>76</v>
      </c>
      <c r="C95" s="4" t="s">
        <v>246</v>
      </c>
      <c r="D95" s="126" t="s">
        <v>406</v>
      </c>
      <c r="E95" s="171">
        <v>1000</v>
      </c>
      <c r="G95" s="5"/>
      <c r="H95" s="110"/>
      <c r="I95" s="110"/>
    </row>
    <row r="96" spans="1:7" s="110" customFormat="1" ht="13.5" customHeight="1">
      <c r="A96" s="164">
        <v>40305</v>
      </c>
      <c r="B96" s="127">
        <v>77</v>
      </c>
      <c r="C96" s="197" t="s">
        <v>34</v>
      </c>
      <c r="D96" s="149" t="s">
        <v>333</v>
      </c>
      <c r="E96" s="170">
        <v>5564</v>
      </c>
      <c r="F96" s="190"/>
      <c r="G96" s="168"/>
    </row>
    <row r="97" spans="1:11" s="126" customFormat="1" ht="12.75">
      <c r="A97" s="184">
        <v>40305</v>
      </c>
      <c r="B97" s="185">
        <v>78</v>
      </c>
      <c r="C97" s="185">
        <v>35</v>
      </c>
      <c r="D97" s="126" t="s">
        <v>433</v>
      </c>
      <c r="E97" s="171">
        <v>1582.5</v>
      </c>
      <c r="F97" s="171"/>
      <c r="G97" s="171"/>
      <c r="H97" s="243"/>
      <c r="I97" s="149"/>
      <c r="J97" s="201"/>
      <c r="K97" s="170"/>
    </row>
    <row r="98" spans="1:11" s="126" customFormat="1" ht="12.75">
      <c r="A98" s="184">
        <v>40308</v>
      </c>
      <c r="B98" s="185">
        <v>79</v>
      </c>
      <c r="C98" s="185">
        <v>35</v>
      </c>
      <c r="D98" s="126" t="s">
        <v>434</v>
      </c>
      <c r="E98" s="171">
        <v>790</v>
      </c>
      <c r="F98" s="171"/>
      <c r="G98" s="171"/>
      <c r="H98" s="243"/>
      <c r="I98" s="149"/>
      <c r="J98" s="201"/>
      <c r="K98" s="170"/>
    </row>
    <row r="99" spans="1:11" s="126" customFormat="1" ht="12.75">
      <c r="A99" s="184">
        <v>40308</v>
      </c>
      <c r="B99" s="185">
        <v>80</v>
      </c>
      <c r="C99" s="185">
        <v>35</v>
      </c>
      <c r="D99" s="126" t="s">
        <v>435</v>
      </c>
      <c r="E99" s="171">
        <v>782.5</v>
      </c>
      <c r="F99" s="171"/>
      <c r="G99" s="171"/>
      <c r="H99" s="149"/>
      <c r="I99" s="149"/>
      <c r="J99" s="240"/>
      <c r="K99" s="171"/>
    </row>
    <row r="100" spans="1:7" s="110" customFormat="1" ht="13.5" customHeight="1">
      <c r="A100" s="164">
        <v>40308</v>
      </c>
      <c r="B100" s="127">
        <v>81</v>
      </c>
      <c r="C100" s="131" t="s">
        <v>14</v>
      </c>
      <c r="D100" s="149" t="s">
        <v>436</v>
      </c>
      <c r="E100" s="170">
        <v>4815.77</v>
      </c>
      <c r="F100" s="190"/>
      <c r="G100" s="168"/>
    </row>
    <row r="101" spans="1:8" s="110" customFormat="1" ht="12.75">
      <c r="A101" s="164">
        <v>40308</v>
      </c>
      <c r="B101" s="127">
        <v>82</v>
      </c>
      <c r="C101" s="131">
        <v>64</v>
      </c>
      <c r="D101" s="149" t="s">
        <v>439</v>
      </c>
      <c r="E101" s="170">
        <v>-78337.5</v>
      </c>
      <c r="F101" s="190"/>
      <c r="G101" s="169"/>
      <c r="H101" s="243"/>
    </row>
    <row r="102" spans="1:8" s="110" customFormat="1" ht="12.75">
      <c r="A102" s="164">
        <v>40308</v>
      </c>
      <c r="B102" s="127">
        <v>83</v>
      </c>
      <c r="C102" s="131">
        <v>64</v>
      </c>
      <c r="D102" s="149" t="s">
        <v>440</v>
      </c>
      <c r="E102" s="170">
        <v>-632.5</v>
      </c>
      <c r="F102" s="190"/>
      <c r="G102" s="169"/>
      <c r="H102" s="243"/>
    </row>
    <row r="103" spans="1:13" ht="12.75">
      <c r="A103" s="164">
        <v>40310</v>
      </c>
      <c r="B103" s="1">
        <v>84</v>
      </c>
      <c r="C103" s="1" t="s">
        <v>115</v>
      </c>
      <c r="D103" s="126" t="s">
        <v>441</v>
      </c>
      <c r="E103" s="5">
        <v>-2907.65</v>
      </c>
      <c r="G103" s="5"/>
      <c r="H103" s="243"/>
      <c r="I103" s="110"/>
      <c r="J103" s="129"/>
      <c r="K103" s="128"/>
      <c r="L103" s="110"/>
      <c r="M103" s="169"/>
    </row>
    <row r="104" spans="1:13" ht="12.75">
      <c r="A104" s="164">
        <v>40310</v>
      </c>
      <c r="B104" s="1">
        <v>84</v>
      </c>
      <c r="C104" s="1">
        <v>52</v>
      </c>
      <c r="D104" s="126" t="s">
        <v>442</v>
      </c>
      <c r="E104" s="5">
        <v>-30</v>
      </c>
      <c r="G104" s="5"/>
      <c r="H104" s="235"/>
      <c r="I104" s="235"/>
      <c r="J104" s="129"/>
      <c r="K104" s="128"/>
      <c r="L104" s="110"/>
      <c r="M104" s="169"/>
    </row>
    <row r="105" spans="1:13" ht="12.75">
      <c r="A105" s="164">
        <v>40310</v>
      </c>
      <c r="B105" s="1">
        <v>85</v>
      </c>
      <c r="C105" s="1" t="s">
        <v>115</v>
      </c>
      <c r="D105" s="126" t="s">
        <v>642</v>
      </c>
      <c r="E105" s="5">
        <v>-560.15</v>
      </c>
      <c r="G105" s="5"/>
      <c r="H105" s="243"/>
      <c r="I105" s="110"/>
      <c r="J105" s="129"/>
      <c r="K105" s="128"/>
      <c r="L105" s="110"/>
      <c r="M105" s="169"/>
    </row>
    <row r="106" spans="1:13" ht="12.75">
      <c r="A106" s="164">
        <v>40310</v>
      </c>
      <c r="B106" s="1">
        <v>86</v>
      </c>
      <c r="C106" s="1" t="s">
        <v>115</v>
      </c>
      <c r="D106" s="126" t="s">
        <v>643</v>
      </c>
      <c r="E106" s="5">
        <v>-1090</v>
      </c>
      <c r="G106" s="5"/>
      <c r="H106" s="243"/>
      <c r="I106" s="110"/>
      <c r="J106" s="129"/>
      <c r="K106" s="128"/>
      <c r="L106" s="110"/>
      <c r="M106" s="169"/>
    </row>
    <row r="107" spans="1:11" s="126" customFormat="1" ht="12.75">
      <c r="A107" s="184">
        <v>40312</v>
      </c>
      <c r="B107" s="185">
        <v>87</v>
      </c>
      <c r="C107" s="185">
        <v>35</v>
      </c>
      <c r="D107" s="126" t="s">
        <v>448</v>
      </c>
      <c r="E107" s="171">
        <v>1207.5</v>
      </c>
      <c r="F107" s="171"/>
      <c r="G107" s="171"/>
      <c r="H107" s="149"/>
      <c r="I107" s="149"/>
      <c r="J107" s="240"/>
      <c r="K107" s="171"/>
    </row>
    <row r="108" spans="1:13" ht="12.75">
      <c r="A108" s="164">
        <v>40316</v>
      </c>
      <c r="B108" s="1">
        <v>88</v>
      </c>
      <c r="C108" s="1" t="s">
        <v>115</v>
      </c>
      <c r="D108" s="126" t="s">
        <v>644</v>
      </c>
      <c r="E108" s="5">
        <v>-1440.15</v>
      </c>
      <c r="G108" s="5"/>
      <c r="H108" s="243"/>
      <c r="I108" s="110"/>
      <c r="J108" s="129"/>
      <c r="K108" s="128"/>
      <c r="L108" s="110"/>
      <c r="M108" s="169"/>
    </row>
    <row r="109" spans="1:7" s="149" customFormat="1" ht="13.5" customHeight="1">
      <c r="A109" s="184">
        <v>40316</v>
      </c>
      <c r="B109" s="123">
        <v>89</v>
      </c>
      <c r="C109" s="188" t="s">
        <v>14</v>
      </c>
      <c r="D109" s="149" t="s">
        <v>446</v>
      </c>
      <c r="E109" s="170">
        <v>2609.2</v>
      </c>
      <c r="F109" s="199"/>
      <c r="G109" s="200"/>
    </row>
    <row r="110" spans="1:11" s="126" customFormat="1" ht="12.75">
      <c r="A110" s="164">
        <v>40316</v>
      </c>
      <c r="B110" s="185">
        <v>90</v>
      </c>
      <c r="C110" s="185">
        <v>35</v>
      </c>
      <c r="D110" s="126" t="s">
        <v>450</v>
      </c>
      <c r="E110" s="171">
        <f>1375+389.5</f>
        <v>1764.5</v>
      </c>
      <c r="F110" s="171"/>
      <c r="G110" s="171"/>
      <c r="H110" s="243"/>
      <c r="I110" s="149"/>
      <c r="J110" s="201"/>
      <c r="K110" s="170"/>
    </row>
    <row r="111" spans="1:11" s="126" customFormat="1" ht="12.75">
      <c r="A111" s="164">
        <v>40316</v>
      </c>
      <c r="B111" s="185">
        <v>90</v>
      </c>
      <c r="C111" s="185">
        <v>35</v>
      </c>
      <c r="D111" s="126" t="s">
        <v>451</v>
      </c>
      <c r="E111" s="171">
        <v>2165</v>
      </c>
      <c r="F111" s="171"/>
      <c r="G111" s="171"/>
      <c r="H111" s="149"/>
      <c r="I111" s="149"/>
      <c r="J111" s="240"/>
      <c r="K111" s="171"/>
    </row>
    <row r="112" spans="1:9" s="126" customFormat="1" ht="12.75">
      <c r="A112" s="184">
        <v>40316</v>
      </c>
      <c r="B112" s="185">
        <v>91</v>
      </c>
      <c r="C112" s="247" t="s">
        <v>246</v>
      </c>
      <c r="D112" s="126" t="s">
        <v>408</v>
      </c>
      <c r="E112" s="171">
        <v>20000</v>
      </c>
      <c r="F112" s="171"/>
      <c r="G112" s="171"/>
      <c r="H112" s="149"/>
      <c r="I112" s="149"/>
    </row>
    <row r="113" spans="1:9" s="126" customFormat="1" ht="12.75">
      <c r="A113" s="184">
        <v>40316</v>
      </c>
      <c r="B113" s="185">
        <v>92</v>
      </c>
      <c r="C113" s="247" t="s">
        <v>246</v>
      </c>
      <c r="D113" s="126" t="s">
        <v>409</v>
      </c>
      <c r="E113" s="171">
        <v>15000</v>
      </c>
      <c r="F113" s="171"/>
      <c r="G113" s="171"/>
      <c r="H113" s="149"/>
      <c r="I113" s="149"/>
    </row>
    <row r="114" spans="1:13" ht="12.75">
      <c r="A114" s="164">
        <v>40317</v>
      </c>
      <c r="B114" s="1">
        <v>93</v>
      </c>
      <c r="C114" s="1" t="s">
        <v>115</v>
      </c>
      <c r="D114" s="126" t="s">
        <v>452</v>
      </c>
      <c r="E114" s="5">
        <v>-2331</v>
      </c>
      <c r="G114" s="5"/>
      <c r="H114" s="243"/>
      <c r="I114" s="110"/>
      <c r="J114" s="129"/>
      <c r="K114" s="128"/>
      <c r="L114" s="110"/>
      <c r="M114" s="169"/>
    </row>
    <row r="115" spans="1:13" ht="12.75">
      <c r="A115" s="164">
        <v>40317</v>
      </c>
      <c r="B115" s="1">
        <v>93</v>
      </c>
      <c r="C115" s="1">
        <v>52</v>
      </c>
      <c r="D115" s="126" t="s">
        <v>453</v>
      </c>
      <c r="E115" s="5">
        <v>-30</v>
      </c>
      <c r="G115" s="5"/>
      <c r="H115" s="235"/>
      <c r="I115" s="235"/>
      <c r="J115" s="129"/>
      <c r="K115" s="128"/>
      <c r="L115" s="110"/>
      <c r="M115" s="169"/>
    </row>
    <row r="116" spans="1:11" s="126" customFormat="1" ht="12.75">
      <c r="A116" s="184">
        <v>40318</v>
      </c>
      <c r="B116" s="185">
        <v>94</v>
      </c>
      <c r="C116" s="185">
        <v>35</v>
      </c>
      <c r="D116" s="126" t="s">
        <v>454</v>
      </c>
      <c r="E116" s="171">
        <v>6835</v>
      </c>
      <c r="F116" s="171"/>
      <c r="G116" s="171"/>
      <c r="H116" s="149"/>
      <c r="I116" s="149"/>
      <c r="J116" s="240"/>
      <c r="K116" s="171"/>
    </row>
    <row r="117" spans="1:11" s="126" customFormat="1" ht="12.75">
      <c r="A117" s="184">
        <v>40319</v>
      </c>
      <c r="B117" s="185">
        <v>95</v>
      </c>
      <c r="C117" s="185">
        <v>35</v>
      </c>
      <c r="D117" s="126" t="s">
        <v>455</v>
      </c>
      <c r="E117" s="171">
        <v>7162.5</v>
      </c>
      <c r="F117" s="171"/>
      <c r="G117" s="171"/>
      <c r="H117" s="149"/>
      <c r="I117" s="149"/>
      <c r="J117" s="240"/>
      <c r="K117" s="171"/>
    </row>
    <row r="118" spans="1:11" s="126" customFormat="1" ht="12.75">
      <c r="A118" s="184">
        <v>40319</v>
      </c>
      <c r="B118" s="185">
        <v>96</v>
      </c>
      <c r="C118" s="185">
        <v>35</v>
      </c>
      <c r="D118" s="126" t="s">
        <v>456</v>
      </c>
      <c r="E118" s="171">
        <v>1770</v>
      </c>
      <c r="F118" s="171"/>
      <c r="G118" s="171"/>
      <c r="H118" s="149"/>
      <c r="I118" s="149"/>
      <c r="J118" s="240"/>
      <c r="K118" s="171"/>
    </row>
    <row r="119" spans="1:7" s="149" customFormat="1" ht="13.5" customHeight="1">
      <c r="A119" s="184">
        <v>40319</v>
      </c>
      <c r="B119" s="123">
        <v>97</v>
      </c>
      <c r="C119" s="188" t="s">
        <v>14</v>
      </c>
      <c r="D119" s="149" t="s">
        <v>437</v>
      </c>
      <c r="E119" s="170">
        <v>2054.23</v>
      </c>
      <c r="F119" s="199"/>
      <c r="G119" s="200"/>
    </row>
    <row r="120" spans="1:7" s="149" customFormat="1" ht="13.5" customHeight="1">
      <c r="A120" s="184">
        <v>40319</v>
      </c>
      <c r="B120" s="123">
        <v>98</v>
      </c>
      <c r="C120" s="188" t="s">
        <v>14</v>
      </c>
      <c r="D120" s="149" t="s">
        <v>438</v>
      </c>
      <c r="E120" s="170">
        <v>600</v>
      </c>
      <c r="F120" s="199"/>
      <c r="G120" s="200"/>
    </row>
    <row r="121" spans="1:7" s="149" customFormat="1" ht="13.5" customHeight="1">
      <c r="A121" s="184">
        <v>40319</v>
      </c>
      <c r="B121" s="123">
        <v>99</v>
      </c>
      <c r="C121" s="188" t="s">
        <v>14</v>
      </c>
      <c r="D121" s="149" t="s">
        <v>445</v>
      </c>
      <c r="E121" s="170">
        <v>2309.2</v>
      </c>
      <c r="F121" s="199"/>
      <c r="G121" s="200"/>
    </row>
    <row r="122" spans="1:9" s="110" customFormat="1" ht="13.5" customHeight="1">
      <c r="A122" s="164">
        <v>40319</v>
      </c>
      <c r="B122" s="127">
        <v>100</v>
      </c>
      <c r="C122" s="131">
        <v>45</v>
      </c>
      <c r="D122" s="149" t="s">
        <v>458</v>
      </c>
      <c r="E122" s="170">
        <v>-1200</v>
      </c>
      <c r="F122" s="190"/>
      <c r="G122" s="168"/>
      <c r="H122" s="235"/>
      <c r="I122" s="235"/>
    </row>
    <row r="123" spans="1:9" s="110" customFormat="1" ht="13.5" customHeight="1">
      <c r="A123" s="164">
        <v>40319</v>
      </c>
      <c r="B123" s="127">
        <v>101</v>
      </c>
      <c r="C123" s="131">
        <v>45</v>
      </c>
      <c r="D123" s="149" t="s">
        <v>459</v>
      </c>
      <c r="E123" s="170">
        <v>-678</v>
      </c>
      <c r="F123" s="190"/>
      <c r="G123" s="168"/>
      <c r="H123" s="235"/>
      <c r="I123" s="235"/>
    </row>
    <row r="124" spans="1:9" s="110" customFormat="1" ht="13.5" customHeight="1">
      <c r="A124" s="164">
        <v>40319</v>
      </c>
      <c r="B124" s="127">
        <v>102</v>
      </c>
      <c r="C124" s="131">
        <v>45</v>
      </c>
      <c r="D124" s="149" t="s">
        <v>460</v>
      </c>
      <c r="E124" s="170">
        <v>-930</v>
      </c>
      <c r="F124" s="190"/>
      <c r="G124" s="168"/>
      <c r="H124" s="235"/>
      <c r="I124" s="235"/>
    </row>
    <row r="125" spans="1:7" s="110" customFormat="1" ht="13.5" customHeight="1">
      <c r="A125" s="164">
        <v>40319</v>
      </c>
      <c r="B125" s="127">
        <v>103</v>
      </c>
      <c r="C125" s="131" t="s">
        <v>114</v>
      </c>
      <c r="D125" s="149" t="s">
        <v>461</v>
      </c>
      <c r="E125" s="170">
        <v>-1285</v>
      </c>
      <c r="F125" s="190"/>
      <c r="G125" s="168"/>
    </row>
    <row r="126" spans="1:11" s="126" customFormat="1" ht="12.75">
      <c r="A126" s="184">
        <v>40323</v>
      </c>
      <c r="B126" s="185">
        <v>104</v>
      </c>
      <c r="C126" s="185">
        <v>35</v>
      </c>
      <c r="D126" s="126" t="s">
        <v>491</v>
      </c>
      <c r="E126" s="171">
        <v>3138</v>
      </c>
      <c r="F126" s="171"/>
      <c r="G126" s="171"/>
      <c r="H126" s="149"/>
      <c r="I126" s="149"/>
      <c r="J126" s="240"/>
      <c r="K126" s="171"/>
    </row>
    <row r="127" spans="1:13" ht="12.75">
      <c r="A127" s="184">
        <v>40323</v>
      </c>
      <c r="B127" s="1">
        <v>105</v>
      </c>
      <c r="C127" s="185">
        <v>44</v>
      </c>
      <c r="D127" s="126" t="s">
        <v>467</v>
      </c>
      <c r="E127" s="5">
        <v>-17833</v>
      </c>
      <c r="G127" s="5"/>
      <c r="H127" s="243"/>
      <c r="I127" s="110"/>
      <c r="J127" s="129"/>
      <c r="K127" s="128"/>
      <c r="L127" s="110"/>
      <c r="M127" s="169"/>
    </row>
    <row r="128" spans="1:13" ht="12.75">
      <c r="A128" s="184">
        <v>40323</v>
      </c>
      <c r="B128" s="1">
        <v>106</v>
      </c>
      <c r="C128" s="185">
        <v>44</v>
      </c>
      <c r="D128" s="126" t="s">
        <v>468</v>
      </c>
      <c r="E128" s="5">
        <v>-816</v>
      </c>
      <c r="G128" s="5"/>
      <c r="H128" s="243"/>
      <c r="I128" s="110"/>
      <c r="J128" s="129"/>
      <c r="K128" s="128"/>
      <c r="L128" s="110"/>
      <c r="M128" s="169"/>
    </row>
    <row r="129" spans="1:7" s="110" customFormat="1" ht="13.5" customHeight="1">
      <c r="A129" s="184">
        <v>40323</v>
      </c>
      <c r="B129" s="127">
        <v>107</v>
      </c>
      <c r="C129" s="131" t="s">
        <v>114</v>
      </c>
      <c r="D129" s="149" t="s">
        <v>464</v>
      </c>
      <c r="E129" s="170">
        <v>-850</v>
      </c>
      <c r="F129" s="190"/>
      <c r="G129" s="168"/>
    </row>
    <row r="130" spans="1:8" s="110" customFormat="1" ht="13.5" customHeight="1">
      <c r="A130" s="184">
        <v>40323</v>
      </c>
      <c r="B130" s="127">
        <v>108</v>
      </c>
      <c r="C130" s="131" t="s">
        <v>115</v>
      </c>
      <c r="D130" s="149" t="s">
        <v>469</v>
      </c>
      <c r="E130" s="170">
        <v>-17327</v>
      </c>
      <c r="F130" s="190"/>
      <c r="G130" s="168"/>
      <c r="H130" s="243"/>
    </row>
    <row r="131" spans="1:7" s="110" customFormat="1" ht="13.5" customHeight="1">
      <c r="A131" s="184">
        <v>40323</v>
      </c>
      <c r="B131" s="127">
        <v>109</v>
      </c>
      <c r="C131" s="131" t="s">
        <v>114</v>
      </c>
      <c r="D131" s="149" t="s">
        <v>470</v>
      </c>
      <c r="E131" s="170">
        <v>-1260</v>
      </c>
      <c r="F131" s="190"/>
      <c r="G131" s="168"/>
    </row>
    <row r="132" spans="1:7" s="110" customFormat="1" ht="13.5" customHeight="1">
      <c r="A132" s="184">
        <v>40323</v>
      </c>
      <c r="B132" s="127">
        <v>110</v>
      </c>
      <c r="C132" s="131" t="s">
        <v>114</v>
      </c>
      <c r="D132" s="149" t="s">
        <v>476</v>
      </c>
      <c r="E132" s="170">
        <v>-4395</v>
      </c>
      <c r="F132" s="190"/>
      <c r="G132" s="168"/>
    </row>
    <row r="133" spans="1:7" s="110" customFormat="1" ht="13.5" customHeight="1">
      <c r="A133" s="164">
        <v>40324</v>
      </c>
      <c r="B133" s="127">
        <v>111</v>
      </c>
      <c r="C133" s="131" t="s">
        <v>114</v>
      </c>
      <c r="D133" s="149" t="s">
        <v>473</v>
      </c>
      <c r="E133" s="170">
        <v>-110</v>
      </c>
      <c r="F133" s="190"/>
      <c r="G133" s="168"/>
    </row>
    <row r="134" spans="1:7" s="110" customFormat="1" ht="13.5" customHeight="1">
      <c r="A134" s="164">
        <v>40325</v>
      </c>
      <c r="B134" s="127">
        <v>112</v>
      </c>
      <c r="C134" s="188" t="s">
        <v>41</v>
      </c>
      <c r="D134" s="248" t="s">
        <v>487</v>
      </c>
      <c r="E134" s="170">
        <v>1000</v>
      </c>
      <c r="F134" s="190"/>
      <c r="G134" s="168"/>
    </row>
    <row r="135" spans="1:7" s="110" customFormat="1" ht="13.5" customHeight="1">
      <c r="A135" s="164">
        <v>40326</v>
      </c>
      <c r="B135" s="127">
        <v>113</v>
      </c>
      <c r="C135" s="131" t="s">
        <v>226</v>
      </c>
      <c r="D135" s="149" t="s">
        <v>492</v>
      </c>
      <c r="E135" s="170">
        <v>-270</v>
      </c>
      <c r="F135" s="190"/>
      <c r="G135" s="168"/>
    </row>
    <row r="136" spans="1:7" s="110" customFormat="1" ht="13.5" customHeight="1">
      <c r="A136" s="184">
        <v>40326</v>
      </c>
      <c r="B136" s="127">
        <v>114</v>
      </c>
      <c r="C136" s="131" t="s">
        <v>114</v>
      </c>
      <c r="D136" s="149" t="s">
        <v>493</v>
      </c>
      <c r="E136" s="170">
        <v>-8065</v>
      </c>
      <c r="F136" s="190"/>
      <c r="G136" s="168"/>
    </row>
    <row r="137" spans="1:7" s="110" customFormat="1" ht="13.5" customHeight="1">
      <c r="A137" s="164">
        <v>40326</v>
      </c>
      <c r="B137" s="127">
        <v>115</v>
      </c>
      <c r="C137" s="131" t="s">
        <v>115</v>
      </c>
      <c r="D137" s="149" t="s">
        <v>501</v>
      </c>
      <c r="E137" s="170">
        <f>-270*3</f>
        <v>-810</v>
      </c>
      <c r="F137" s="190"/>
      <c r="G137" s="168"/>
    </row>
    <row r="138" spans="1:7" s="110" customFormat="1" ht="13.5" customHeight="1">
      <c r="A138" s="164">
        <v>40326</v>
      </c>
      <c r="B138" s="127">
        <v>115</v>
      </c>
      <c r="C138" s="131" t="s">
        <v>114</v>
      </c>
      <c r="D138" s="149" t="s">
        <v>500</v>
      </c>
      <c r="E138" s="170">
        <v>-3185</v>
      </c>
      <c r="F138" s="190"/>
      <c r="G138" s="168"/>
    </row>
    <row r="139" spans="1:9" s="110" customFormat="1" ht="13.5" customHeight="1">
      <c r="A139" s="184">
        <v>40329</v>
      </c>
      <c r="B139" s="127">
        <v>116</v>
      </c>
      <c r="C139" s="131" t="s">
        <v>115</v>
      </c>
      <c r="D139" s="149" t="s">
        <v>506</v>
      </c>
      <c r="E139" s="170">
        <v>-380</v>
      </c>
      <c r="F139" s="190"/>
      <c r="G139" s="168"/>
      <c r="H139" s="243"/>
      <c r="I139" s="243"/>
    </row>
    <row r="140" spans="1:9" s="110" customFormat="1" ht="13.5" customHeight="1">
      <c r="A140" s="164">
        <v>40329</v>
      </c>
      <c r="B140" s="127">
        <v>117</v>
      </c>
      <c r="C140" s="131">
        <v>45</v>
      </c>
      <c r="D140" s="149" t="s">
        <v>504</v>
      </c>
      <c r="E140" s="170">
        <v>-210</v>
      </c>
      <c r="F140" s="190"/>
      <c r="G140" s="168"/>
      <c r="H140" s="235"/>
      <c r="I140" s="235"/>
    </row>
    <row r="141" spans="1:7" s="110" customFormat="1" ht="13.5" customHeight="1">
      <c r="A141" s="164">
        <v>40329</v>
      </c>
      <c r="B141" s="127">
        <v>118</v>
      </c>
      <c r="C141" s="131" t="s">
        <v>114</v>
      </c>
      <c r="D141" s="149" t="s">
        <v>505</v>
      </c>
      <c r="E141" s="170">
        <v>-6100</v>
      </c>
      <c r="F141" s="190"/>
      <c r="G141" s="168"/>
    </row>
    <row r="142" spans="1:9" ht="12.75">
      <c r="A142" s="164">
        <v>40329</v>
      </c>
      <c r="B142" s="1">
        <v>119</v>
      </c>
      <c r="C142" s="4">
        <v>52</v>
      </c>
      <c r="D142" s="159" t="s">
        <v>510</v>
      </c>
      <c r="E142" s="171">
        <v>-46</v>
      </c>
      <c r="F142" s="7"/>
      <c r="G142" s="60"/>
      <c r="H142" s="110"/>
      <c r="I142" s="110"/>
    </row>
    <row r="143" spans="1:7" s="110" customFormat="1" ht="13.5" customHeight="1">
      <c r="A143" s="164">
        <v>40331</v>
      </c>
      <c r="B143" s="127">
        <v>120</v>
      </c>
      <c r="C143" s="131" t="s">
        <v>114</v>
      </c>
      <c r="D143" s="149" t="s">
        <v>479</v>
      </c>
      <c r="E143" s="170">
        <v>-1320</v>
      </c>
      <c r="F143" s="190"/>
      <c r="G143" s="168"/>
    </row>
    <row r="144" spans="1:7" s="149" customFormat="1" ht="13.5" customHeight="1">
      <c r="A144" s="184">
        <v>40331</v>
      </c>
      <c r="B144" s="123">
        <v>121</v>
      </c>
      <c r="C144" s="188" t="s">
        <v>41</v>
      </c>
      <c r="D144" s="248" t="s">
        <v>486</v>
      </c>
      <c r="E144" s="170">
        <v>800</v>
      </c>
      <c r="F144" s="199"/>
      <c r="G144" s="200"/>
    </row>
    <row r="145" spans="1:11" s="126" customFormat="1" ht="12.75">
      <c r="A145" s="184">
        <v>40331</v>
      </c>
      <c r="B145" s="185">
        <v>122</v>
      </c>
      <c r="C145" s="185">
        <v>35</v>
      </c>
      <c r="D145" s="126" t="s">
        <v>511</v>
      </c>
      <c r="E145" s="171">
        <v>1025</v>
      </c>
      <c r="F145" s="171"/>
      <c r="G145" s="171"/>
      <c r="H145" s="149"/>
      <c r="I145" s="149"/>
      <c r="J145" s="240"/>
      <c r="K145" s="171"/>
    </row>
    <row r="146" spans="1:8" s="110" customFormat="1" ht="13.5" customHeight="1">
      <c r="A146" s="184">
        <v>40331</v>
      </c>
      <c r="B146" s="127">
        <v>123</v>
      </c>
      <c r="C146" s="131">
        <v>45</v>
      </c>
      <c r="D146" s="149" t="s">
        <v>512</v>
      </c>
      <c r="E146" s="170">
        <v>-5710</v>
      </c>
      <c r="F146" s="190"/>
      <c r="G146" s="168"/>
      <c r="H146" s="243"/>
    </row>
    <row r="147" spans="1:11" s="126" customFormat="1" ht="12.75">
      <c r="A147" s="184">
        <v>40331</v>
      </c>
      <c r="B147" s="185">
        <v>123</v>
      </c>
      <c r="C147" s="185">
        <v>35</v>
      </c>
      <c r="D147" s="126" t="s">
        <v>513</v>
      </c>
      <c r="E147" s="171">
        <v>5710</v>
      </c>
      <c r="F147" s="171"/>
      <c r="G147" s="171"/>
      <c r="H147" s="149"/>
      <c r="I147" s="149"/>
      <c r="J147" s="240"/>
      <c r="K147" s="171"/>
    </row>
    <row r="148" spans="1:9" s="110" customFormat="1" ht="13.5" customHeight="1">
      <c r="A148" s="164">
        <v>40336</v>
      </c>
      <c r="B148" s="127">
        <v>124</v>
      </c>
      <c r="C148" s="188" t="s">
        <v>41</v>
      </c>
      <c r="D148" s="248" t="s">
        <v>483</v>
      </c>
      <c r="E148" s="170">
        <v>5000</v>
      </c>
      <c r="F148" s="190"/>
      <c r="G148" s="168"/>
      <c r="H148" s="235"/>
      <c r="I148" s="235"/>
    </row>
    <row r="149" spans="1:9" s="110" customFormat="1" ht="13.5" customHeight="1">
      <c r="A149" s="164">
        <v>40336</v>
      </c>
      <c r="B149" s="127">
        <v>125</v>
      </c>
      <c r="C149" s="188" t="s">
        <v>41</v>
      </c>
      <c r="D149" s="248" t="s">
        <v>488</v>
      </c>
      <c r="E149" s="170">
        <v>8050</v>
      </c>
      <c r="F149" s="190"/>
      <c r="G149" s="168"/>
      <c r="H149" s="235"/>
      <c r="I149" s="235"/>
    </row>
    <row r="150" spans="1:9" s="110" customFormat="1" ht="13.5" customHeight="1">
      <c r="A150" s="184">
        <v>40337</v>
      </c>
      <c r="B150" s="127">
        <v>126</v>
      </c>
      <c r="C150" s="131">
        <v>45</v>
      </c>
      <c r="D150" s="149" t="s">
        <v>522</v>
      </c>
      <c r="E150" s="170">
        <v>-13155</v>
      </c>
      <c r="F150" s="190"/>
      <c r="G150" s="168"/>
      <c r="H150" s="235"/>
      <c r="I150" s="235"/>
    </row>
    <row r="151" spans="1:7" s="110" customFormat="1" ht="13.5" customHeight="1">
      <c r="A151" s="184">
        <v>40337</v>
      </c>
      <c r="B151" s="127">
        <v>127</v>
      </c>
      <c r="C151" s="131" t="s">
        <v>114</v>
      </c>
      <c r="D151" s="149" t="s">
        <v>519</v>
      </c>
      <c r="E151" s="170">
        <v>-610</v>
      </c>
      <c r="F151" s="190"/>
      <c r="G151" s="168"/>
    </row>
    <row r="152" spans="1:7" s="110" customFormat="1" ht="13.5" customHeight="1">
      <c r="A152" s="184">
        <v>40337</v>
      </c>
      <c r="B152" s="127">
        <v>128</v>
      </c>
      <c r="C152" s="131" t="s">
        <v>114</v>
      </c>
      <c r="D152" s="149" t="s">
        <v>514</v>
      </c>
      <c r="E152" s="170">
        <v>-1320</v>
      </c>
      <c r="F152" s="190"/>
      <c r="G152" s="168"/>
    </row>
    <row r="153" spans="1:11" s="126" customFormat="1" ht="12.75">
      <c r="A153" s="184">
        <v>40337</v>
      </c>
      <c r="B153" s="185">
        <v>129</v>
      </c>
      <c r="C153" s="185">
        <v>35</v>
      </c>
      <c r="D153" s="126" t="s">
        <v>525</v>
      </c>
      <c r="E153" s="171">
        <v>2575</v>
      </c>
      <c r="F153" s="171"/>
      <c r="G153" s="171"/>
      <c r="H153" s="149"/>
      <c r="I153" s="149"/>
      <c r="J153" s="240"/>
      <c r="K153" s="171"/>
    </row>
    <row r="154" spans="1:7" s="149" customFormat="1" ht="13.5" customHeight="1">
      <c r="A154" s="184">
        <v>40337</v>
      </c>
      <c r="B154" s="123">
        <v>130</v>
      </c>
      <c r="C154" s="241" t="s">
        <v>34</v>
      </c>
      <c r="D154" s="149" t="s">
        <v>334</v>
      </c>
      <c r="E154" s="170">
        <v>7800</v>
      </c>
      <c r="F154" s="199"/>
      <c r="G154" s="200"/>
    </row>
    <row r="155" spans="1:7" s="149" customFormat="1" ht="13.5" customHeight="1">
      <c r="A155" s="184">
        <v>40337</v>
      </c>
      <c r="B155" s="123">
        <v>131</v>
      </c>
      <c r="C155" s="241" t="s">
        <v>34</v>
      </c>
      <c r="D155" s="149" t="s">
        <v>335</v>
      </c>
      <c r="E155" s="170">
        <v>28900</v>
      </c>
      <c r="F155" s="199"/>
      <c r="G155" s="200"/>
    </row>
    <row r="156" spans="1:7" s="149" customFormat="1" ht="13.5" customHeight="1">
      <c r="A156" s="184">
        <v>40337</v>
      </c>
      <c r="B156" s="123">
        <v>132</v>
      </c>
      <c r="C156" s="241" t="s">
        <v>34</v>
      </c>
      <c r="D156" s="149" t="s">
        <v>331</v>
      </c>
      <c r="E156" s="170">
        <v>4600</v>
      </c>
      <c r="F156" s="199"/>
      <c r="G156" s="200"/>
    </row>
    <row r="157" spans="1:7" s="149" customFormat="1" ht="13.5" customHeight="1">
      <c r="A157" s="184">
        <v>40337</v>
      </c>
      <c r="B157" s="123">
        <v>133</v>
      </c>
      <c r="C157" s="241" t="s">
        <v>34</v>
      </c>
      <c r="D157" s="149" t="s">
        <v>333</v>
      </c>
      <c r="E157" s="170">
        <v>5900</v>
      </c>
      <c r="F157" s="199"/>
      <c r="G157" s="200"/>
    </row>
    <row r="158" spans="1:7" s="149" customFormat="1" ht="13.5" customHeight="1">
      <c r="A158" s="184">
        <v>40337</v>
      </c>
      <c r="B158" s="123">
        <v>134</v>
      </c>
      <c r="C158" s="188" t="s">
        <v>41</v>
      </c>
      <c r="D158" s="248" t="s">
        <v>484</v>
      </c>
      <c r="E158" s="170">
        <v>1000</v>
      </c>
      <c r="F158" s="199"/>
      <c r="G158" s="200"/>
    </row>
    <row r="159" spans="1:7" s="149" customFormat="1" ht="13.5" customHeight="1">
      <c r="A159" s="184">
        <v>40337</v>
      </c>
      <c r="B159" s="123">
        <v>135</v>
      </c>
      <c r="C159" s="188" t="s">
        <v>41</v>
      </c>
      <c r="D159" s="248" t="s">
        <v>490</v>
      </c>
      <c r="E159" s="170">
        <v>1610</v>
      </c>
      <c r="F159" s="199"/>
      <c r="G159" s="200"/>
    </row>
    <row r="160" spans="1:7" s="110" customFormat="1" ht="13.5" customHeight="1">
      <c r="A160" s="164">
        <v>40338</v>
      </c>
      <c r="B160" s="127">
        <v>136</v>
      </c>
      <c r="C160" s="131" t="s">
        <v>114</v>
      </c>
      <c r="D160" s="149" t="s">
        <v>515</v>
      </c>
      <c r="E160" s="170">
        <v>-1170</v>
      </c>
      <c r="F160" s="190"/>
      <c r="G160" s="168"/>
    </row>
    <row r="161" spans="1:7" s="110" customFormat="1" ht="13.5" customHeight="1">
      <c r="A161" s="164">
        <v>40338</v>
      </c>
      <c r="B161" s="127">
        <v>137</v>
      </c>
      <c r="C161" s="131" t="s">
        <v>114</v>
      </c>
      <c r="D161" s="149" t="s">
        <v>520</v>
      </c>
      <c r="E161" s="170">
        <v>-2940</v>
      </c>
      <c r="F161" s="190"/>
      <c r="G161" s="168"/>
    </row>
    <row r="162" spans="1:10" s="149" customFormat="1" ht="12.75">
      <c r="A162" s="184">
        <v>40338</v>
      </c>
      <c r="B162" s="123">
        <v>138</v>
      </c>
      <c r="C162" s="188" t="s">
        <v>183</v>
      </c>
      <c r="D162" s="149" t="s">
        <v>526</v>
      </c>
      <c r="E162" s="170">
        <v>650</v>
      </c>
      <c r="F162" s="199"/>
      <c r="G162" s="200"/>
      <c r="J162" s="201"/>
    </row>
    <row r="163" spans="1:7" s="149" customFormat="1" ht="13.5" customHeight="1">
      <c r="A163" s="184">
        <v>40338</v>
      </c>
      <c r="B163" s="123">
        <v>139</v>
      </c>
      <c r="C163" s="241" t="s">
        <v>34</v>
      </c>
      <c r="D163" s="149" t="s">
        <v>307</v>
      </c>
      <c r="E163" s="170">
        <v>75900</v>
      </c>
      <c r="F163" s="199"/>
      <c r="G163" s="200"/>
    </row>
    <row r="164" spans="1:7" s="149" customFormat="1" ht="13.5" customHeight="1">
      <c r="A164" s="184">
        <v>40338</v>
      </c>
      <c r="B164" s="123">
        <v>140</v>
      </c>
      <c r="C164" s="188" t="s">
        <v>41</v>
      </c>
      <c r="D164" s="248" t="s">
        <v>485</v>
      </c>
      <c r="E164" s="170">
        <v>17400</v>
      </c>
      <c r="F164" s="199"/>
      <c r="G164" s="200"/>
    </row>
    <row r="165" spans="1:9" s="110" customFormat="1" ht="13.5" customHeight="1">
      <c r="A165" s="184">
        <v>40339</v>
      </c>
      <c r="B165" s="127">
        <v>141</v>
      </c>
      <c r="C165" s="131">
        <v>45</v>
      </c>
      <c r="D165" s="149" t="s">
        <v>529</v>
      </c>
      <c r="E165" s="170">
        <v>-4642</v>
      </c>
      <c r="F165" s="190"/>
      <c r="G165" s="168"/>
      <c r="H165" s="235"/>
      <c r="I165" s="235"/>
    </row>
    <row r="166" spans="1:13" ht="12.75">
      <c r="A166" s="184">
        <v>40339</v>
      </c>
      <c r="B166" s="1">
        <v>142</v>
      </c>
      <c r="C166" s="185">
        <v>44</v>
      </c>
      <c r="D166" s="126" t="s">
        <v>530</v>
      </c>
      <c r="E166" s="5">
        <v>-300</v>
      </c>
      <c r="G166" s="5"/>
      <c r="H166" s="243"/>
      <c r="I166" s="110"/>
      <c r="J166" s="129"/>
      <c r="K166" s="128"/>
      <c r="L166" s="110"/>
      <c r="M166" s="169"/>
    </row>
    <row r="167" spans="1:13" ht="12.75">
      <c r="A167" s="164">
        <v>40339</v>
      </c>
      <c r="B167" s="1">
        <v>143</v>
      </c>
      <c r="C167" s="1" t="s">
        <v>115</v>
      </c>
      <c r="D167" s="126" t="s">
        <v>426</v>
      </c>
      <c r="E167" s="5">
        <v>-16359</v>
      </c>
      <c r="G167" s="5"/>
      <c r="H167" s="243"/>
      <c r="I167" s="110"/>
      <c r="J167" s="129"/>
      <c r="K167" s="128"/>
      <c r="L167" s="110"/>
      <c r="M167" s="169"/>
    </row>
    <row r="168" spans="1:13" ht="12.75">
      <c r="A168" s="184">
        <v>40339</v>
      </c>
      <c r="B168" s="1">
        <v>144</v>
      </c>
      <c r="C168" s="185">
        <v>44</v>
      </c>
      <c r="D168" s="126" t="s">
        <v>531</v>
      </c>
      <c r="E168" s="5">
        <v>-12200</v>
      </c>
      <c r="G168" s="5"/>
      <c r="H168" s="235"/>
      <c r="I168" s="235"/>
      <c r="J168" s="129"/>
      <c r="K168" s="128"/>
      <c r="L168" s="110"/>
      <c r="M168" s="169"/>
    </row>
    <row r="169" spans="1:7" s="149" customFormat="1" ht="13.5" customHeight="1">
      <c r="A169" s="184">
        <v>40339</v>
      </c>
      <c r="B169" s="123">
        <v>145</v>
      </c>
      <c r="C169" s="241" t="s">
        <v>34</v>
      </c>
      <c r="D169" s="149" t="s">
        <v>332</v>
      </c>
      <c r="E169" s="170">
        <v>4000</v>
      </c>
      <c r="F169" s="199"/>
      <c r="G169" s="200"/>
    </row>
    <row r="170" spans="1:10" s="149" customFormat="1" ht="12.75">
      <c r="A170" s="253">
        <v>40339</v>
      </c>
      <c r="B170" s="123">
        <v>146</v>
      </c>
      <c r="C170" s="188" t="s">
        <v>41</v>
      </c>
      <c r="D170" s="248" t="s">
        <v>482</v>
      </c>
      <c r="E170" s="170">
        <v>1345</v>
      </c>
      <c r="F170" s="199"/>
      <c r="G170" s="200"/>
      <c r="J170" s="201"/>
    </row>
    <row r="171" spans="1:8" s="110" customFormat="1" ht="13.5" customHeight="1">
      <c r="A171" s="184">
        <v>40343</v>
      </c>
      <c r="B171" s="127">
        <v>147</v>
      </c>
      <c r="C171" s="131">
        <v>45</v>
      </c>
      <c r="D171" s="149" t="s">
        <v>533</v>
      </c>
      <c r="E171" s="170">
        <v>-6416</v>
      </c>
      <c r="F171" s="190"/>
      <c r="G171" s="168"/>
      <c r="H171" s="243"/>
    </row>
    <row r="172" spans="1:7" s="110" customFormat="1" ht="13.5" customHeight="1">
      <c r="A172" s="164">
        <v>40343</v>
      </c>
      <c r="B172" s="127">
        <v>148</v>
      </c>
      <c r="C172" s="131" t="s">
        <v>114</v>
      </c>
      <c r="D172" s="149" t="s">
        <v>584</v>
      </c>
      <c r="E172" s="170">
        <v>-3780</v>
      </c>
      <c r="F172" s="190"/>
      <c r="G172" s="168"/>
    </row>
    <row r="173" spans="1:7" s="110" customFormat="1" ht="13.5" customHeight="1">
      <c r="A173" s="164">
        <v>40344</v>
      </c>
      <c r="B173" s="127">
        <v>149</v>
      </c>
      <c r="C173" s="131" t="s">
        <v>114</v>
      </c>
      <c r="D173" s="149" t="s">
        <v>588</v>
      </c>
      <c r="E173" s="170">
        <v>-2310</v>
      </c>
      <c r="F173" s="190"/>
      <c r="G173" s="168"/>
    </row>
    <row r="174" spans="1:7" s="110" customFormat="1" ht="13.5" customHeight="1">
      <c r="A174" s="164">
        <v>40344</v>
      </c>
      <c r="B174" s="127">
        <v>150</v>
      </c>
      <c r="C174" s="131" t="s">
        <v>114</v>
      </c>
      <c r="D174" s="149" t="s">
        <v>587</v>
      </c>
      <c r="E174" s="170">
        <v>-100</v>
      </c>
      <c r="F174" s="190"/>
      <c r="G174" s="168"/>
    </row>
    <row r="175" spans="1:10" s="110" customFormat="1" ht="12.75">
      <c r="A175" s="164">
        <v>40345</v>
      </c>
      <c r="B175" s="127">
        <v>151</v>
      </c>
      <c r="C175" s="131" t="s">
        <v>183</v>
      </c>
      <c r="D175" s="149" t="s">
        <v>578</v>
      </c>
      <c r="E175" s="252">
        <v>850</v>
      </c>
      <c r="F175" s="190"/>
      <c r="G175" s="168"/>
      <c r="J175" s="129"/>
    </row>
    <row r="176" spans="1:10" s="110" customFormat="1" ht="12.75">
      <c r="A176" s="164">
        <v>40345</v>
      </c>
      <c r="B176" s="127">
        <v>152</v>
      </c>
      <c r="C176" s="131" t="s">
        <v>183</v>
      </c>
      <c r="D176" s="149" t="s">
        <v>573</v>
      </c>
      <c r="E176" s="252">
        <v>1500</v>
      </c>
      <c r="F176" s="190"/>
      <c r="G176" s="168"/>
      <c r="J176" s="129"/>
    </row>
    <row r="177" spans="1:10" s="110" customFormat="1" ht="12.75">
      <c r="A177" s="164">
        <v>40347</v>
      </c>
      <c r="B177" s="127">
        <v>153</v>
      </c>
      <c r="C177" s="131" t="s">
        <v>183</v>
      </c>
      <c r="D177" s="149" t="s">
        <v>593</v>
      </c>
      <c r="E177" s="252">
        <v>850</v>
      </c>
      <c r="F177" s="190"/>
      <c r="G177" s="168"/>
      <c r="J177" s="129"/>
    </row>
    <row r="178" spans="1:10" s="110" customFormat="1" ht="12.75">
      <c r="A178" s="164">
        <v>40347</v>
      </c>
      <c r="B178" s="127">
        <v>154</v>
      </c>
      <c r="C178" s="131" t="s">
        <v>183</v>
      </c>
      <c r="D178" s="110" t="s">
        <v>523</v>
      </c>
      <c r="E178" s="252">
        <v>650</v>
      </c>
      <c r="F178" s="190"/>
      <c r="G178" s="168"/>
      <c r="J178" s="129"/>
    </row>
    <row r="179" spans="1:10" s="110" customFormat="1" ht="12.75">
      <c r="A179" s="164">
        <v>40350</v>
      </c>
      <c r="B179" s="127">
        <v>155</v>
      </c>
      <c r="C179" s="131" t="s">
        <v>183</v>
      </c>
      <c r="D179" s="110" t="s">
        <v>524</v>
      </c>
      <c r="E179" s="252">
        <v>1500</v>
      </c>
      <c r="F179" s="190"/>
      <c r="G179" s="168"/>
      <c r="J179" s="129"/>
    </row>
    <row r="180" spans="1:7" s="110" customFormat="1" ht="13.5" customHeight="1">
      <c r="A180" s="164">
        <v>40350</v>
      </c>
      <c r="B180" s="127">
        <v>156</v>
      </c>
      <c r="C180" s="131" t="s">
        <v>114</v>
      </c>
      <c r="D180" s="149" t="s">
        <v>534</v>
      </c>
      <c r="E180" s="170">
        <v>-5500</v>
      </c>
      <c r="F180" s="190"/>
      <c r="G180" s="168"/>
    </row>
    <row r="181" spans="1:7" s="110" customFormat="1" ht="13.5" customHeight="1">
      <c r="A181" s="164">
        <v>40351</v>
      </c>
      <c r="B181" s="127">
        <v>157</v>
      </c>
      <c r="C181" s="131" t="s">
        <v>114</v>
      </c>
      <c r="D181" s="149" t="s">
        <v>601</v>
      </c>
      <c r="E181" s="170">
        <v>-910</v>
      </c>
      <c r="F181" s="190"/>
      <c r="G181" s="168"/>
    </row>
    <row r="182" spans="1:7" s="110" customFormat="1" ht="13.5" customHeight="1">
      <c r="A182" s="164">
        <v>40351</v>
      </c>
      <c r="B182" s="127">
        <v>158</v>
      </c>
      <c r="C182" s="131" t="s">
        <v>114</v>
      </c>
      <c r="D182" s="149" t="s">
        <v>602</v>
      </c>
      <c r="E182" s="170">
        <v>-4790</v>
      </c>
      <c r="F182" s="190"/>
      <c r="G182" s="168"/>
    </row>
    <row r="183" spans="1:7" s="110" customFormat="1" ht="13.5" customHeight="1">
      <c r="A183" s="164">
        <v>40352</v>
      </c>
      <c r="B183" s="127">
        <v>159</v>
      </c>
      <c r="C183" s="131" t="s">
        <v>114</v>
      </c>
      <c r="D183" s="149" t="s">
        <v>606</v>
      </c>
      <c r="E183" s="170">
        <v>-910</v>
      </c>
      <c r="F183" s="190"/>
      <c r="G183" s="168"/>
    </row>
    <row r="184" spans="1:7" s="110" customFormat="1" ht="13.5" customHeight="1">
      <c r="A184" s="164">
        <v>40352</v>
      </c>
      <c r="B184" s="127">
        <v>160</v>
      </c>
      <c r="C184" s="131" t="s">
        <v>114</v>
      </c>
      <c r="D184" s="149" t="s">
        <v>607</v>
      </c>
      <c r="E184" s="170">
        <v>-7590</v>
      </c>
      <c r="F184" s="190"/>
      <c r="G184" s="168"/>
    </row>
    <row r="185" spans="1:10" s="149" customFormat="1" ht="12.75">
      <c r="A185" s="184">
        <v>40352</v>
      </c>
      <c r="B185" s="123">
        <v>161</v>
      </c>
      <c r="C185" s="188" t="s">
        <v>183</v>
      </c>
      <c r="D185" s="149" t="s">
        <v>527</v>
      </c>
      <c r="E185" s="170">
        <v>1500</v>
      </c>
      <c r="F185" s="199"/>
      <c r="G185" s="200"/>
      <c r="J185" s="201"/>
    </row>
    <row r="186" spans="1:10" s="110" customFormat="1" ht="12.75">
      <c r="A186" s="164">
        <v>40353</v>
      </c>
      <c r="B186" s="127">
        <v>162</v>
      </c>
      <c r="C186" s="131" t="s">
        <v>183</v>
      </c>
      <c r="D186" s="149" t="s">
        <v>576</v>
      </c>
      <c r="E186" s="170">
        <v>2550</v>
      </c>
      <c r="F186" s="190"/>
      <c r="G186" s="168"/>
      <c r="J186" s="129"/>
    </row>
    <row r="187" spans="1:7" s="110" customFormat="1" ht="13.5" customHeight="1">
      <c r="A187" s="164">
        <v>40353</v>
      </c>
      <c r="B187" s="127">
        <v>163</v>
      </c>
      <c r="C187" s="131" t="s">
        <v>114</v>
      </c>
      <c r="D187" s="149" t="s">
        <v>610</v>
      </c>
      <c r="E187" s="170">
        <v>-250</v>
      </c>
      <c r="F187" s="190"/>
      <c r="G187" s="168"/>
    </row>
    <row r="188" spans="1:7" s="110" customFormat="1" ht="13.5" customHeight="1">
      <c r="A188" s="164">
        <v>40353</v>
      </c>
      <c r="B188" s="127">
        <v>164</v>
      </c>
      <c r="C188" s="131" t="s">
        <v>114</v>
      </c>
      <c r="D188" s="149" t="s">
        <v>611</v>
      </c>
      <c r="E188" s="170">
        <v>-3550</v>
      </c>
      <c r="F188" s="190"/>
      <c r="G188" s="168"/>
    </row>
    <row r="189" spans="1:10" s="149" customFormat="1" ht="12.75">
      <c r="A189" s="184">
        <v>40354</v>
      </c>
      <c r="B189" s="123">
        <v>165</v>
      </c>
      <c r="C189" s="188" t="s">
        <v>183</v>
      </c>
      <c r="D189" s="149" t="s">
        <v>579</v>
      </c>
      <c r="E189" s="170">
        <v>850</v>
      </c>
      <c r="F189" s="199"/>
      <c r="G189" s="200"/>
      <c r="J189" s="201"/>
    </row>
    <row r="190" spans="1:7" s="110" customFormat="1" ht="13.5" customHeight="1">
      <c r="A190" s="164">
        <v>40354</v>
      </c>
      <c r="B190" s="127">
        <v>166</v>
      </c>
      <c r="C190" s="131" t="s">
        <v>226</v>
      </c>
      <c r="D190" s="149" t="s">
        <v>532</v>
      </c>
      <c r="E190" s="170">
        <v>-1000</v>
      </c>
      <c r="F190" s="190"/>
      <c r="G190" s="168"/>
    </row>
    <row r="191" spans="1:11" ht="12.75">
      <c r="A191" s="164">
        <v>40354</v>
      </c>
      <c r="B191" s="1">
        <v>167</v>
      </c>
      <c r="C191" s="1">
        <v>32</v>
      </c>
      <c r="D191" s="126" t="s">
        <v>614</v>
      </c>
      <c r="E191" s="171">
        <v>1000</v>
      </c>
      <c r="G191" s="5"/>
      <c r="H191" s="110"/>
      <c r="I191" s="110"/>
      <c r="J191" s="129"/>
      <c r="K191" s="5"/>
    </row>
    <row r="192" spans="1:9" s="126" customFormat="1" ht="12.75">
      <c r="A192" s="184">
        <v>40357</v>
      </c>
      <c r="B192" s="185">
        <v>168</v>
      </c>
      <c r="C192" s="247" t="s">
        <v>246</v>
      </c>
      <c r="D192" s="126" t="s">
        <v>407</v>
      </c>
      <c r="E192" s="171">
        <v>20000</v>
      </c>
      <c r="F192" s="171"/>
      <c r="G192" s="171"/>
      <c r="H192" s="149"/>
      <c r="I192" s="149"/>
    </row>
    <row r="193" spans="1:7" s="110" customFormat="1" ht="13.5" customHeight="1">
      <c r="A193" s="164">
        <v>40359</v>
      </c>
      <c r="B193" s="127">
        <v>169</v>
      </c>
      <c r="C193" s="131" t="s">
        <v>226</v>
      </c>
      <c r="D193" s="149" t="s">
        <v>615</v>
      </c>
      <c r="E193" s="170">
        <v>-226</v>
      </c>
      <c r="F193" s="190"/>
      <c r="G193" s="168"/>
    </row>
    <row r="194" spans="1:7" s="110" customFormat="1" ht="13.5" customHeight="1">
      <c r="A194" s="164">
        <v>40359</v>
      </c>
      <c r="B194" s="127">
        <v>170</v>
      </c>
      <c r="C194" s="131" t="s">
        <v>114</v>
      </c>
      <c r="D194" s="149" t="s">
        <v>616</v>
      </c>
      <c r="E194" s="170">
        <v>-330</v>
      </c>
      <c r="F194" s="190"/>
      <c r="G194" s="168"/>
    </row>
    <row r="195" spans="1:7" s="110" customFormat="1" ht="13.5" customHeight="1">
      <c r="A195" s="164">
        <v>40359</v>
      </c>
      <c r="B195" s="127">
        <v>171</v>
      </c>
      <c r="C195" s="131" t="s">
        <v>114</v>
      </c>
      <c r="D195" s="149" t="s">
        <v>617</v>
      </c>
      <c r="E195" s="170">
        <v>-1555</v>
      </c>
      <c r="F195" s="190"/>
      <c r="G195" s="168"/>
    </row>
    <row r="196" spans="1:9" s="126" customFormat="1" ht="12.75">
      <c r="A196" s="184">
        <v>40359</v>
      </c>
      <c r="B196" s="185">
        <v>172</v>
      </c>
      <c r="C196" s="247">
        <v>52</v>
      </c>
      <c r="D196" s="216" t="s">
        <v>627</v>
      </c>
      <c r="E196" s="171">
        <v>-50</v>
      </c>
      <c r="F196" s="254"/>
      <c r="G196" s="255"/>
      <c r="H196" s="149"/>
      <c r="I196" s="149"/>
    </row>
    <row r="197" spans="1:13" s="126" customFormat="1" ht="12.75">
      <c r="A197" s="184">
        <v>40360</v>
      </c>
      <c r="B197" s="185">
        <v>173</v>
      </c>
      <c r="C197" s="185" t="s">
        <v>115</v>
      </c>
      <c r="D197" s="126" t="s">
        <v>628</v>
      </c>
      <c r="E197" s="171">
        <v>-3428.81</v>
      </c>
      <c r="F197" s="171"/>
      <c r="G197" s="171"/>
      <c r="H197" s="243"/>
      <c r="I197" s="243"/>
      <c r="J197" s="201"/>
      <c r="K197" s="170"/>
      <c r="L197" s="149"/>
      <c r="M197" s="256"/>
    </row>
    <row r="198" spans="1:14" s="126" customFormat="1" ht="12.75">
      <c r="A198" s="184">
        <v>40360</v>
      </c>
      <c r="B198" s="185">
        <v>173</v>
      </c>
      <c r="C198" s="185">
        <v>52</v>
      </c>
      <c r="D198" s="126" t="s">
        <v>629</v>
      </c>
      <c r="E198" s="171">
        <v>-30</v>
      </c>
      <c r="F198" s="171"/>
      <c r="G198" s="171"/>
      <c r="H198" s="243"/>
      <c r="I198" s="243"/>
      <c r="J198" s="201"/>
      <c r="K198" s="170"/>
      <c r="L198" s="149"/>
      <c r="M198" s="256"/>
      <c r="N198" s="256"/>
    </row>
    <row r="199" spans="1:11" s="149" customFormat="1" ht="12.75">
      <c r="A199" s="184">
        <v>40360</v>
      </c>
      <c r="B199" s="185">
        <v>174</v>
      </c>
      <c r="C199" s="123">
        <v>44</v>
      </c>
      <c r="D199" s="149" t="s">
        <v>655</v>
      </c>
      <c r="E199" s="170">
        <v>-28800</v>
      </c>
      <c r="F199" s="170"/>
      <c r="G199" s="170"/>
      <c r="H199" s="243"/>
      <c r="I199" s="235"/>
      <c r="K199" s="170"/>
    </row>
    <row r="200" spans="1:7" s="149" customFormat="1" ht="13.5" customHeight="1">
      <c r="A200" s="184">
        <v>40364</v>
      </c>
      <c r="B200" s="123">
        <v>175</v>
      </c>
      <c r="C200" s="188" t="s">
        <v>41</v>
      </c>
      <c r="D200" s="248" t="s">
        <v>651</v>
      </c>
      <c r="E200" s="170">
        <v>-1000</v>
      </c>
      <c r="F200" s="199"/>
      <c r="G200" s="200"/>
    </row>
    <row r="201" spans="1:7" s="110" customFormat="1" ht="13.5" customHeight="1">
      <c r="A201" s="184">
        <v>40364</v>
      </c>
      <c r="B201" s="127">
        <v>176</v>
      </c>
      <c r="C201" s="131" t="s">
        <v>14</v>
      </c>
      <c r="D201" s="248" t="s">
        <v>637</v>
      </c>
      <c r="E201" s="170">
        <v>5023.5</v>
      </c>
      <c r="F201" s="190"/>
      <c r="G201" s="168"/>
    </row>
    <row r="202" spans="1:7" s="110" customFormat="1" ht="13.5" customHeight="1">
      <c r="A202" s="184">
        <v>40364</v>
      </c>
      <c r="B202" s="127">
        <v>177</v>
      </c>
      <c r="C202" s="188" t="s">
        <v>41</v>
      </c>
      <c r="D202" s="248" t="s">
        <v>633</v>
      </c>
      <c r="E202" s="170">
        <v>5500</v>
      </c>
      <c r="F202" s="190"/>
      <c r="G202" s="168"/>
    </row>
    <row r="203" spans="1:10" s="110" customFormat="1" ht="12.75">
      <c r="A203" s="184">
        <v>40364</v>
      </c>
      <c r="B203" s="127">
        <v>178</v>
      </c>
      <c r="C203" s="131" t="s">
        <v>183</v>
      </c>
      <c r="D203" s="149" t="s">
        <v>599</v>
      </c>
      <c r="E203" s="252">
        <v>400</v>
      </c>
      <c r="F203" s="190"/>
      <c r="G203" s="168"/>
      <c r="J203" s="129"/>
    </row>
    <row r="204" spans="1:9" ht="12.75">
      <c r="A204" s="164">
        <v>40365</v>
      </c>
      <c r="B204" s="1">
        <v>179</v>
      </c>
      <c r="C204" s="4">
        <v>55</v>
      </c>
      <c r="D204" s="216" t="s">
        <v>650</v>
      </c>
      <c r="E204" s="171">
        <v>-1548.5</v>
      </c>
      <c r="F204" s="7"/>
      <c r="G204" s="60"/>
      <c r="H204" s="110"/>
      <c r="I204" s="110"/>
    </row>
    <row r="205" spans="1:7" s="110" customFormat="1" ht="13.5" customHeight="1">
      <c r="A205" s="164">
        <v>40365</v>
      </c>
      <c r="B205" s="127">
        <v>180</v>
      </c>
      <c r="C205" s="188" t="s">
        <v>41</v>
      </c>
      <c r="D205" s="248" t="s">
        <v>634</v>
      </c>
      <c r="E205" s="170">
        <v>6000</v>
      </c>
      <c r="F205" s="190"/>
      <c r="G205" s="168"/>
    </row>
    <row r="206" spans="1:7" s="110" customFormat="1" ht="13.5" customHeight="1">
      <c r="A206" s="164">
        <v>40365</v>
      </c>
      <c r="B206" s="127">
        <v>181</v>
      </c>
      <c r="C206" s="131" t="s">
        <v>14</v>
      </c>
      <c r="D206" s="248" t="s">
        <v>638</v>
      </c>
      <c r="E206" s="170">
        <v>440.5</v>
      </c>
      <c r="F206" s="190"/>
      <c r="G206" s="168"/>
    </row>
    <row r="207" spans="1:7" s="110" customFormat="1" ht="13.5" customHeight="1">
      <c r="A207" s="164">
        <v>40365</v>
      </c>
      <c r="B207" s="127">
        <v>182</v>
      </c>
      <c r="C207" s="188" t="s">
        <v>41</v>
      </c>
      <c r="D207" s="248" t="s">
        <v>636</v>
      </c>
      <c r="E207" s="170">
        <v>1500</v>
      </c>
      <c r="F207" s="190"/>
      <c r="G207" s="168"/>
    </row>
    <row r="208" spans="1:11" s="126" customFormat="1" ht="12.75">
      <c r="A208" s="164">
        <v>40365</v>
      </c>
      <c r="B208" s="185">
        <v>183</v>
      </c>
      <c r="C208" s="185">
        <v>52</v>
      </c>
      <c r="D208" s="126" t="s">
        <v>656</v>
      </c>
      <c r="E208" s="171">
        <v>1000</v>
      </c>
      <c r="F208" s="171"/>
      <c r="G208" s="171"/>
      <c r="H208" s="149"/>
      <c r="I208" s="149"/>
      <c r="J208" s="240"/>
      <c r="K208" s="171"/>
    </row>
    <row r="209" spans="1:9" s="110" customFormat="1" ht="13.5" customHeight="1">
      <c r="A209" s="184">
        <v>40371</v>
      </c>
      <c r="B209" s="127">
        <v>184</v>
      </c>
      <c r="C209" s="131">
        <v>45</v>
      </c>
      <c r="D209" s="149" t="s">
        <v>657</v>
      </c>
      <c r="E209" s="170">
        <v>-4661</v>
      </c>
      <c r="F209" s="190"/>
      <c r="G209" s="168"/>
      <c r="H209" s="235"/>
      <c r="I209" s="235"/>
    </row>
    <row r="210" spans="1:7" s="110" customFormat="1" ht="13.5" customHeight="1">
      <c r="A210" s="164">
        <v>40371</v>
      </c>
      <c r="B210" s="127">
        <v>185</v>
      </c>
      <c r="C210" s="131" t="s">
        <v>226</v>
      </c>
      <c r="D210" s="149" t="s">
        <v>658</v>
      </c>
      <c r="E210" s="170">
        <v>-1651.8</v>
      </c>
      <c r="F210" s="190"/>
      <c r="G210" s="168"/>
    </row>
    <row r="211" spans="1:7" s="149" customFormat="1" ht="13.5" customHeight="1">
      <c r="A211" s="184">
        <v>40371</v>
      </c>
      <c r="B211" s="123">
        <v>186</v>
      </c>
      <c r="C211" s="188" t="s">
        <v>41</v>
      </c>
      <c r="D211" s="248" t="s">
        <v>635</v>
      </c>
      <c r="E211" s="170">
        <v>3000</v>
      </c>
      <c r="F211" s="199"/>
      <c r="G211" s="200"/>
    </row>
    <row r="212" spans="1:7" s="149" customFormat="1" ht="13.5" customHeight="1">
      <c r="A212" s="184">
        <v>40371</v>
      </c>
      <c r="B212" s="123">
        <v>187</v>
      </c>
      <c r="C212" s="188" t="s">
        <v>14</v>
      </c>
      <c r="D212" s="248" t="s">
        <v>639</v>
      </c>
      <c r="E212" s="170">
        <v>2521.5</v>
      </c>
      <c r="F212" s="199"/>
      <c r="G212" s="200"/>
    </row>
    <row r="213" spans="1:7" s="110" customFormat="1" ht="13.5" customHeight="1">
      <c r="A213" s="164">
        <v>40372</v>
      </c>
      <c r="B213" s="127">
        <v>188</v>
      </c>
      <c r="C213" s="131" t="s">
        <v>114</v>
      </c>
      <c r="D213" s="149" t="s">
        <v>652</v>
      </c>
      <c r="E213" s="170">
        <v>-2825</v>
      </c>
      <c r="F213" s="190"/>
      <c r="G213" s="168"/>
    </row>
    <row r="214" spans="1:7" s="149" customFormat="1" ht="13.5" customHeight="1">
      <c r="A214" s="184">
        <v>40372</v>
      </c>
      <c r="B214" s="123">
        <v>189</v>
      </c>
      <c r="C214" s="188" t="s">
        <v>41</v>
      </c>
      <c r="D214" s="248" t="s">
        <v>489</v>
      </c>
      <c r="E214" s="170">
        <v>11400</v>
      </c>
      <c r="F214" s="199"/>
      <c r="G214" s="200"/>
    </row>
    <row r="215" spans="1:9" ht="12.75">
      <c r="A215" s="164">
        <v>40373</v>
      </c>
      <c r="B215" s="1">
        <v>190</v>
      </c>
      <c r="C215" s="4" t="s">
        <v>246</v>
      </c>
      <c r="D215" s="126" t="s">
        <v>572</v>
      </c>
      <c r="E215" s="5">
        <v>20000</v>
      </c>
      <c r="G215" s="5"/>
      <c r="H215" s="110"/>
      <c r="I215" s="110"/>
    </row>
    <row r="216" spans="1:7" s="110" customFormat="1" ht="13.5" customHeight="1">
      <c r="A216" s="164">
        <v>40374</v>
      </c>
      <c r="B216" s="127">
        <v>191</v>
      </c>
      <c r="C216" s="131" t="s">
        <v>114</v>
      </c>
      <c r="D216" s="149" t="s">
        <v>645</v>
      </c>
      <c r="E216" s="170">
        <v>-1860</v>
      </c>
      <c r="F216" s="190"/>
      <c r="G216" s="168"/>
    </row>
    <row r="217" spans="1:7" s="110" customFormat="1" ht="13.5" customHeight="1">
      <c r="A217" s="164">
        <v>40374</v>
      </c>
      <c r="B217" s="127">
        <v>191</v>
      </c>
      <c r="C217" s="131" t="s">
        <v>226</v>
      </c>
      <c r="D217" s="149" t="s">
        <v>649</v>
      </c>
      <c r="E217" s="170">
        <v>-50</v>
      </c>
      <c r="F217" s="190"/>
      <c r="G217" s="168"/>
    </row>
    <row r="218" spans="1:11" s="126" customFormat="1" ht="12.75">
      <c r="A218" s="164">
        <v>40375</v>
      </c>
      <c r="B218" s="185">
        <v>192</v>
      </c>
      <c r="C218" s="185">
        <v>52</v>
      </c>
      <c r="D218" s="126" t="s">
        <v>663</v>
      </c>
      <c r="E218" s="171">
        <v>-1000</v>
      </c>
      <c r="F218" s="171"/>
      <c r="G218" s="171"/>
      <c r="H218" s="149"/>
      <c r="I218" s="149"/>
      <c r="J218" s="240"/>
      <c r="K218" s="171"/>
    </row>
    <row r="219" spans="1:10" s="110" customFormat="1" ht="12.75">
      <c r="A219" s="164">
        <v>40375</v>
      </c>
      <c r="B219" s="127">
        <v>193</v>
      </c>
      <c r="C219" s="131" t="s">
        <v>183</v>
      </c>
      <c r="D219" s="149" t="s">
        <v>575</v>
      </c>
      <c r="E219" s="252">
        <v>650</v>
      </c>
      <c r="F219" s="190"/>
      <c r="G219" s="168"/>
      <c r="J219" s="129"/>
    </row>
    <row r="220" spans="1:10" s="149" customFormat="1" ht="12.75">
      <c r="A220" s="184">
        <v>40379</v>
      </c>
      <c r="B220" s="123">
        <v>194</v>
      </c>
      <c r="C220" s="188" t="s">
        <v>183</v>
      </c>
      <c r="D220" s="149" t="s">
        <v>574</v>
      </c>
      <c r="E220" s="170">
        <v>2350</v>
      </c>
      <c r="F220" s="199"/>
      <c r="G220" s="200"/>
      <c r="J220" s="201"/>
    </row>
    <row r="221" spans="1:7" s="110" customFormat="1" ht="13.5" customHeight="1">
      <c r="A221" s="164">
        <v>40381</v>
      </c>
      <c r="B221" s="127">
        <v>195</v>
      </c>
      <c r="C221" s="131" t="s">
        <v>114</v>
      </c>
      <c r="D221" s="149" t="s">
        <v>630</v>
      </c>
      <c r="E221" s="170">
        <v>-100</v>
      </c>
      <c r="F221" s="190"/>
      <c r="G221" s="168"/>
    </row>
    <row r="222" spans="1:9" s="110" customFormat="1" ht="13.5" customHeight="1">
      <c r="A222" s="164">
        <v>40381</v>
      </c>
      <c r="B222" s="127">
        <v>196</v>
      </c>
      <c r="C222" s="131">
        <v>45</v>
      </c>
      <c r="D222" s="149" t="s">
        <v>664</v>
      </c>
      <c r="E222" s="170">
        <v>-960</v>
      </c>
      <c r="F222" s="190"/>
      <c r="G222" s="168"/>
      <c r="H222" s="243"/>
      <c r="I222" s="235"/>
    </row>
    <row r="223" spans="1:10" s="110" customFormat="1" ht="12.75">
      <c r="A223" s="164">
        <v>40382</v>
      </c>
      <c r="B223" s="127">
        <v>197</v>
      </c>
      <c r="C223" s="131" t="s">
        <v>114</v>
      </c>
      <c r="D223" s="149" t="s">
        <v>665</v>
      </c>
      <c r="E223" s="170">
        <v>-280</v>
      </c>
      <c r="F223" s="190"/>
      <c r="G223" s="168"/>
      <c r="J223" s="129"/>
    </row>
    <row r="224" spans="1:10" s="110" customFormat="1" ht="12.75">
      <c r="A224" s="164">
        <v>40382</v>
      </c>
      <c r="B224" s="127">
        <v>198</v>
      </c>
      <c r="C224" s="131" t="s">
        <v>114</v>
      </c>
      <c r="D224" s="149" t="s">
        <v>666</v>
      </c>
      <c r="E224" s="170">
        <v>-370</v>
      </c>
      <c r="F224" s="190"/>
      <c r="G224" s="168"/>
      <c r="J224" s="129"/>
    </row>
    <row r="225" spans="1:10" s="110" customFormat="1" ht="12.75">
      <c r="A225" s="164">
        <v>40382</v>
      </c>
      <c r="B225" s="127">
        <v>199</v>
      </c>
      <c r="C225" s="131" t="s">
        <v>114</v>
      </c>
      <c r="D225" s="149" t="s">
        <v>659</v>
      </c>
      <c r="E225" s="170">
        <v>-5700</v>
      </c>
      <c r="F225" s="190"/>
      <c r="G225" s="168"/>
      <c r="J225" s="129"/>
    </row>
    <row r="226" spans="1:10" s="110" customFormat="1" ht="12.75">
      <c r="A226" s="164">
        <v>40382</v>
      </c>
      <c r="B226" s="127">
        <v>199</v>
      </c>
      <c r="C226" s="131" t="s">
        <v>114</v>
      </c>
      <c r="D226" s="149" t="s">
        <v>662</v>
      </c>
      <c r="E226" s="170">
        <v>-9360</v>
      </c>
      <c r="F226" s="190"/>
      <c r="G226" s="168"/>
      <c r="J226" s="129"/>
    </row>
    <row r="227" spans="1:10" s="110" customFormat="1" ht="12.75">
      <c r="A227" s="164">
        <v>40382</v>
      </c>
      <c r="B227" s="127">
        <v>199</v>
      </c>
      <c r="C227" s="131" t="s">
        <v>114</v>
      </c>
      <c r="D227" s="149" t="s">
        <v>672</v>
      </c>
      <c r="E227" s="170">
        <v>-3200</v>
      </c>
      <c r="F227" s="190"/>
      <c r="G227" s="168"/>
      <c r="J227" s="129"/>
    </row>
    <row r="228" spans="1:10" s="110" customFormat="1" ht="12.75">
      <c r="A228" s="164">
        <v>40382</v>
      </c>
      <c r="B228" s="127">
        <v>199</v>
      </c>
      <c r="C228" s="131" t="s">
        <v>115</v>
      </c>
      <c r="D228" s="149" t="s">
        <v>670</v>
      </c>
      <c r="E228" s="170">
        <v>-3570</v>
      </c>
      <c r="F228" s="190"/>
      <c r="G228" s="168"/>
      <c r="J228" s="129"/>
    </row>
    <row r="229" spans="1:10" s="110" customFormat="1" ht="12.75">
      <c r="A229" s="164">
        <v>40382</v>
      </c>
      <c r="B229" s="127">
        <v>199</v>
      </c>
      <c r="C229" s="131" t="s">
        <v>115</v>
      </c>
      <c r="D229" s="149" t="s">
        <v>671</v>
      </c>
      <c r="E229" s="170">
        <v>-1040</v>
      </c>
      <c r="F229" s="190"/>
      <c r="G229" s="168"/>
      <c r="J229" s="129"/>
    </row>
    <row r="230" spans="1:10" s="110" customFormat="1" ht="12.75">
      <c r="A230" s="164">
        <v>40389</v>
      </c>
      <c r="B230" s="127">
        <v>200</v>
      </c>
      <c r="C230" s="131">
        <v>44</v>
      </c>
      <c r="D230" s="149" t="s">
        <v>676</v>
      </c>
      <c r="E230" s="170">
        <v>-6760</v>
      </c>
      <c r="F230" s="190"/>
      <c r="G230" s="168"/>
      <c r="J230" s="129"/>
    </row>
    <row r="231" spans="1:10" s="110" customFormat="1" ht="12.75">
      <c r="A231" s="164">
        <v>40389</v>
      </c>
      <c r="B231" s="127">
        <v>200</v>
      </c>
      <c r="C231" s="131" t="s">
        <v>114</v>
      </c>
      <c r="D231" s="149" t="s">
        <v>680</v>
      </c>
      <c r="E231" s="170">
        <v>-3000</v>
      </c>
      <c r="F231" s="190"/>
      <c r="G231" s="168"/>
      <c r="J231" s="129"/>
    </row>
    <row r="232" spans="1:10" s="110" customFormat="1" ht="12.75">
      <c r="A232" s="164">
        <v>40389</v>
      </c>
      <c r="B232" s="127">
        <v>200</v>
      </c>
      <c r="C232" s="131" t="s">
        <v>114</v>
      </c>
      <c r="D232" s="149" t="s">
        <v>681</v>
      </c>
      <c r="E232" s="170">
        <v>-3125</v>
      </c>
      <c r="F232" s="190"/>
      <c r="G232" s="168"/>
      <c r="J232" s="129"/>
    </row>
    <row r="233" spans="1:10" s="110" customFormat="1" ht="12.75">
      <c r="A233" s="164">
        <v>40389</v>
      </c>
      <c r="B233" s="127">
        <v>200</v>
      </c>
      <c r="C233" s="131" t="s">
        <v>114</v>
      </c>
      <c r="D233" s="149" t="s">
        <v>682</v>
      </c>
      <c r="E233" s="170">
        <v>-90</v>
      </c>
      <c r="F233" s="190"/>
      <c r="G233" s="168"/>
      <c r="J233" s="129"/>
    </row>
    <row r="234" spans="1:9" s="126" customFormat="1" ht="12.75">
      <c r="A234" s="184">
        <v>40390</v>
      </c>
      <c r="B234" s="185">
        <v>201</v>
      </c>
      <c r="C234" s="247">
        <v>52</v>
      </c>
      <c r="D234" s="216" t="s">
        <v>685</v>
      </c>
      <c r="E234" s="171">
        <v>-26</v>
      </c>
      <c r="F234" s="254"/>
      <c r="G234" s="255"/>
      <c r="H234" s="149"/>
      <c r="I234" s="149"/>
    </row>
    <row r="235" spans="1:10" s="110" customFormat="1" ht="12.75">
      <c r="A235" s="164">
        <v>40392</v>
      </c>
      <c r="B235" s="127">
        <v>202</v>
      </c>
      <c r="C235" s="131" t="s">
        <v>114</v>
      </c>
      <c r="D235" s="149" t="s">
        <v>686</v>
      </c>
      <c r="E235" s="170">
        <v>-560</v>
      </c>
      <c r="F235" s="190"/>
      <c r="G235" s="168"/>
      <c r="J235" s="129"/>
    </row>
    <row r="236" spans="1:10" s="110" customFormat="1" ht="12.75">
      <c r="A236" s="164">
        <v>40392</v>
      </c>
      <c r="B236" s="127">
        <v>202</v>
      </c>
      <c r="C236" s="131" t="s">
        <v>114</v>
      </c>
      <c r="D236" s="149" t="s">
        <v>687</v>
      </c>
      <c r="E236" s="170">
        <v>-840</v>
      </c>
      <c r="F236" s="190"/>
      <c r="G236" s="168"/>
      <c r="J236" s="129"/>
    </row>
    <row r="237" spans="1:10" s="110" customFormat="1" ht="12.75">
      <c r="A237" s="164">
        <v>40392</v>
      </c>
      <c r="B237" s="127">
        <v>202</v>
      </c>
      <c r="C237" s="131" t="s">
        <v>114</v>
      </c>
      <c r="D237" s="149" t="s">
        <v>688</v>
      </c>
      <c r="E237" s="170">
        <v>-840</v>
      </c>
      <c r="F237" s="190"/>
      <c r="G237" s="168"/>
      <c r="J237" s="129"/>
    </row>
    <row r="238" spans="1:10" s="110" customFormat="1" ht="12.75">
      <c r="A238" s="164">
        <v>40399</v>
      </c>
      <c r="B238" s="127">
        <v>203</v>
      </c>
      <c r="C238" s="131" t="s">
        <v>114</v>
      </c>
      <c r="D238" s="149" t="s">
        <v>692</v>
      </c>
      <c r="E238" s="170">
        <v>-1840</v>
      </c>
      <c r="F238" s="190"/>
      <c r="G238" s="168"/>
      <c r="J238" s="129"/>
    </row>
    <row r="239" spans="1:10" s="110" customFormat="1" ht="12.75">
      <c r="A239" s="164">
        <v>40399</v>
      </c>
      <c r="B239" s="127">
        <v>204</v>
      </c>
      <c r="C239" s="131" t="s">
        <v>114</v>
      </c>
      <c r="D239" s="149" t="s">
        <v>694</v>
      </c>
      <c r="E239" s="170">
        <v>-290</v>
      </c>
      <c r="F239" s="190"/>
      <c r="G239" s="168"/>
      <c r="J239" s="129"/>
    </row>
    <row r="240" spans="1:8" s="110" customFormat="1" ht="13.5" customHeight="1">
      <c r="A240" s="164">
        <v>40399</v>
      </c>
      <c r="B240" s="127">
        <v>205</v>
      </c>
      <c r="C240" s="131">
        <v>45</v>
      </c>
      <c r="D240" s="149" t="s">
        <v>693</v>
      </c>
      <c r="E240" s="170">
        <v>-1200</v>
      </c>
      <c r="F240" s="190"/>
      <c r="G240" s="168"/>
      <c r="H240" s="243"/>
    </row>
    <row r="241" spans="1:10" s="110" customFormat="1" ht="12.75">
      <c r="A241" s="164">
        <v>40399</v>
      </c>
      <c r="B241" s="127">
        <v>206</v>
      </c>
      <c r="C241" s="131" t="s">
        <v>183</v>
      </c>
      <c r="D241" s="149" t="s">
        <v>598</v>
      </c>
      <c r="E241" s="252">
        <v>400</v>
      </c>
      <c r="F241" s="190"/>
      <c r="G241" s="168"/>
      <c r="J241" s="129"/>
    </row>
    <row r="242" spans="1:10" s="110" customFormat="1" ht="12.75">
      <c r="A242" s="164">
        <v>40400</v>
      </c>
      <c r="B242" s="127">
        <v>207</v>
      </c>
      <c r="C242" s="131" t="s">
        <v>114</v>
      </c>
      <c r="D242" s="149" t="s">
        <v>698</v>
      </c>
      <c r="E242" s="170">
        <v>-3920</v>
      </c>
      <c r="F242" s="190"/>
      <c r="G242" s="168"/>
      <c r="J242" s="129"/>
    </row>
    <row r="243" spans="1:10" s="110" customFormat="1" ht="12.75">
      <c r="A243" s="164">
        <v>40402</v>
      </c>
      <c r="B243" s="127">
        <v>208</v>
      </c>
      <c r="C243" s="131" t="s">
        <v>114</v>
      </c>
      <c r="D243" s="149" t="s">
        <v>699</v>
      </c>
      <c r="E243" s="170">
        <v>-60</v>
      </c>
      <c r="F243" s="190"/>
      <c r="G243" s="168"/>
      <c r="J243" s="129"/>
    </row>
    <row r="244" spans="1:11" s="126" customFormat="1" ht="12.75">
      <c r="A244" s="184">
        <v>40403</v>
      </c>
      <c r="B244" s="185">
        <v>209</v>
      </c>
      <c r="C244" s="185">
        <v>35</v>
      </c>
      <c r="D244" s="126" t="s">
        <v>704</v>
      </c>
      <c r="E244" s="171">
        <v>237.5</v>
      </c>
      <c r="F244" s="171"/>
      <c r="G244" s="171"/>
      <c r="H244" s="149"/>
      <c r="I244" s="149"/>
      <c r="J244" s="240"/>
      <c r="K244" s="171"/>
    </row>
    <row r="245" spans="1:10" s="110" customFormat="1" ht="12.75">
      <c r="A245" s="164">
        <v>40406</v>
      </c>
      <c r="B245" s="127">
        <v>210</v>
      </c>
      <c r="C245" s="131" t="s">
        <v>114</v>
      </c>
      <c r="D245" s="149" t="s">
        <v>706</v>
      </c>
      <c r="E245" s="170">
        <v>-2330</v>
      </c>
      <c r="F245" s="190"/>
      <c r="G245" s="168"/>
      <c r="J245" s="129"/>
    </row>
    <row r="246" spans="1:10" s="110" customFormat="1" ht="12.75">
      <c r="A246" s="164">
        <v>40406</v>
      </c>
      <c r="B246" s="127">
        <v>211</v>
      </c>
      <c r="C246" s="131" t="s">
        <v>114</v>
      </c>
      <c r="D246" s="149" t="s">
        <v>707</v>
      </c>
      <c r="E246" s="170">
        <v>-1220</v>
      </c>
      <c r="F246" s="190"/>
      <c r="G246" s="168"/>
      <c r="J246" s="129"/>
    </row>
    <row r="247" spans="1:10" s="110" customFormat="1" ht="12.75">
      <c r="A247" s="164">
        <v>40406</v>
      </c>
      <c r="B247" s="127">
        <v>212</v>
      </c>
      <c r="C247" s="131">
        <v>52</v>
      </c>
      <c r="D247" s="149" t="s">
        <v>708</v>
      </c>
      <c r="E247" s="170">
        <v>-120</v>
      </c>
      <c r="F247" s="190"/>
      <c r="G247" s="168"/>
      <c r="J247" s="129"/>
    </row>
    <row r="248" spans="1:10" s="110" customFormat="1" ht="12.75">
      <c r="A248" s="164">
        <v>40406</v>
      </c>
      <c r="B248" s="127">
        <v>213</v>
      </c>
      <c r="C248" s="131" t="s">
        <v>183</v>
      </c>
      <c r="D248" s="149" t="s">
        <v>596</v>
      </c>
      <c r="E248" s="252">
        <v>650</v>
      </c>
      <c r="F248" s="190"/>
      <c r="G248" s="168"/>
      <c r="J248" s="129"/>
    </row>
    <row r="249" spans="1:11" s="126" customFormat="1" ht="12.75">
      <c r="A249" s="184">
        <v>40406</v>
      </c>
      <c r="B249" s="185">
        <v>214</v>
      </c>
      <c r="C249" s="185">
        <v>35</v>
      </c>
      <c r="D249" s="126" t="s">
        <v>711</v>
      </c>
      <c r="E249" s="171">
        <v>237.5</v>
      </c>
      <c r="F249" s="171"/>
      <c r="G249" s="171"/>
      <c r="H249" s="149"/>
      <c r="I249" s="149"/>
      <c r="J249" s="240"/>
      <c r="K249" s="171"/>
    </row>
    <row r="250" spans="1:11" s="126" customFormat="1" ht="12.75">
      <c r="A250" s="184">
        <v>40406</v>
      </c>
      <c r="B250" s="185">
        <v>215</v>
      </c>
      <c r="C250" s="185">
        <v>35</v>
      </c>
      <c r="D250" s="126" t="s">
        <v>712</v>
      </c>
      <c r="E250" s="171">
        <v>475</v>
      </c>
      <c r="F250" s="171"/>
      <c r="G250" s="171"/>
      <c r="H250" s="149"/>
      <c r="I250" s="149"/>
      <c r="J250" s="240"/>
      <c r="K250" s="171"/>
    </row>
    <row r="251" spans="1:10" s="110" customFormat="1" ht="12.75">
      <c r="A251" s="164">
        <v>40407</v>
      </c>
      <c r="B251" s="127">
        <v>216</v>
      </c>
      <c r="C251" s="131" t="s">
        <v>183</v>
      </c>
      <c r="D251" s="149" t="s">
        <v>594</v>
      </c>
      <c r="E251" s="170">
        <v>850</v>
      </c>
      <c r="F251" s="190"/>
      <c r="G251" s="168"/>
      <c r="J251" s="129"/>
    </row>
    <row r="252" spans="1:10" s="110" customFormat="1" ht="12.75">
      <c r="A252" s="164">
        <v>40407</v>
      </c>
      <c r="B252" s="127">
        <v>217</v>
      </c>
      <c r="C252" s="131" t="s">
        <v>183</v>
      </c>
      <c r="D252" s="149" t="s">
        <v>595</v>
      </c>
      <c r="E252" s="170">
        <v>400</v>
      </c>
      <c r="F252" s="190"/>
      <c r="G252" s="168"/>
      <c r="J252" s="129"/>
    </row>
    <row r="253" spans="1:10" s="110" customFormat="1" ht="12.75">
      <c r="A253" s="164">
        <v>40408</v>
      </c>
      <c r="B253" s="127">
        <v>218</v>
      </c>
      <c r="C253" s="131" t="s">
        <v>183</v>
      </c>
      <c r="D253" s="149" t="s">
        <v>528</v>
      </c>
      <c r="E253" s="170">
        <v>1300</v>
      </c>
      <c r="F253" s="190"/>
      <c r="G253" s="168"/>
      <c r="J253" s="129"/>
    </row>
    <row r="254" spans="1:11" s="126" customFormat="1" ht="12.75">
      <c r="A254" s="184">
        <v>40408</v>
      </c>
      <c r="B254" s="185">
        <v>219</v>
      </c>
      <c r="C254" s="185">
        <v>35</v>
      </c>
      <c r="D254" s="126" t="s">
        <v>719</v>
      </c>
      <c r="E254" s="171">
        <v>1082.5</v>
      </c>
      <c r="F254" s="171"/>
      <c r="G254" s="171"/>
      <c r="H254" s="149"/>
      <c r="I254" s="149"/>
      <c r="J254" s="240"/>
      <c r="K254" s="171"/>
    </row>
    <row r="255" spans="1:7" s="110" customFormat="1" ht="13.5" customHeight="1">
      <c r="A255" s="164">
        <v>40408</v>
      </c>
      <c r="B255" s="127">
        <v>220</v>
      </c>
      <c r="C255" s="131" t="s">
        <v>14</v>
      </c>
      <c r="D255" s="248" t="s">
        <v>720</v>
      </c>
      <c r="E255" s="170">
        <v>1597.44</v>
      </c>
      <c r="F255" s="190"/>
      <c r="G255" s="168"/>
    </row>
    <row r="256" spans="1:7" s="110" customFormat="1" ht="13.5" customHeight="1">
      <c r="A256" s="164">
        <v>40409</v>
      </c>
      <c r="B256" s="127">
        <v>221</v>
      </c>
      <c r="C256" s="131" t="s">
        <v>14</v>
      </c>
      <c r="D256" s="248" t="s">
        <v>721</v>
      </c>
      <c r="E256" s="170">
        <v>5001.92</v>
      </c>
      <c r="F256" s="190"/>
      <c r="G256" s="168"/>
    </row>
    <row r="257" spans="1:7" s="149" customFormat="1" ht="13.5" customHeight="1">
      <c r="A257" s="184">
        <v>40409</v>
      </c>
      <c r="B257" s="123">
        <v>222</v>
      </c>
      <c r="C257" s="188" t="s">
        <v>14</v>
      </c>
      <c r="D257" s="248" t="s">
        <v>705</v>
      </c>
      <c r="E257" s="170">
        <v>1200</v>
      </c>
      <c r="F257" s="199"/>
      <c r="G257" s="200"/>
    </row>
    <row r="258" spans="1:7" s="110" customFormat="1" ht="13.5" customHeight="1">
      <c r="A258" s="164">
        <v>40409</v>
      </c>
      <c r="B258" s="127">
        <v>223</v>
      </c>
      <c r="C258" s="131" t="s">
        <v>14</v>
      </c>
      <c r="D258" s="248" t="s">
        <v>722</v>
      </c>
      <c r="E258" s="170">
        <v>2035.26</v>
      </c>
      <c r="F258" s="190"/>
      <c r="G258" s="168"/>
    </row>
    <row r="259" spans="1:11" s="126" customFormat="1" ht="12.75">
      <c r="A259" s="184">
        <v>40409</v>
      </c>
      <c r="B259" s="185">
        <v>224</v>
      </c>
      <c r="C259" s="185">
        <v>35</v>
      </c>
      <c r="D259" s="126" t="s">
        <v>723</v>
      </c>
      <c r="E259" s="171">
        <v>800</v>
      </c>
      <c r="F259" s="171"/>
      <c r="G259" s="171"/>
      <c r="H259" s="149"/>
      <c r="I259" s="149"/>
      <c r="J259" s="240"/>
      <c r="K259" s="171"/>
    </row>
    <row r="260" spans="1:10" s="110" customFormat="1" ht="12.75">
      <c r="A260" s="164">
        <v>40410</v>
      </c>
      <c r="B260" s="127">
        <v>225</v>
      </c>
      <c r="C260" s="131" t="s">
        <v>114</v>
      </c>
      <c r="D260" s="149" t="s">
        <v>724</v>
      </c>
      <c r="E260" s="170">
        <v>-1910</v>
      </c>
      <c r="F260" s="190"/>
      <c r="G260" s="168"/>
      <c r="J260" s="129"/>
    </row>
    <row r="261" spans="1:9" s="110" customFormat="1" ht="13.5" customHeight="1">
      <c r="A261" s="164">
        <v>40410</v>
      </c>
      <c r="B261" s="127">
        <v>226</v>
      </c>
      <c r="C261" s="131">
        <v>45</v>
      </c>
      <c r="D261" s="149" t="s">
        <v>727</v>
      </c>
      <c r="E261" s="170">
        <v>-525</v>
      </c>
      <c r="F261" s="190"/>
      <c r="G261" s="168"/>
      <c r="H261" s="235"/>
      <c r="I261" s="235"/>
    </row>
    <row r="262" spans="1:11" s="126" customFormat="1" ht="12.75">
      <c r="A262" s="184">
        <v>40410</v>
      </c>
      <c r="B262" s="185">
        <v>227</v>
      </c>
      <c r="C262" s="185">
        <v>35</v>
      </c>
      <c r="D262" s="126" t="s">
        <v>716</v>
      </c>
      <c r="E262" s="171">
        <v>237.5</v>
      </c>
      <c r="F262" s="171"/>
      <c r="G262" s="171"/>
      <c r="H262" s="149"/>
      <c r="I262" s="149"/>
      <c r="J262" s="240"/>
      <c r="K262" s="171"/>
    </row>
    <row r="263" spans="1:7" s="149" customFormat="1" ht="13.5" customHeight="1">
      <c r="A263" s="184">
        <v>40410</v>
      </c>
      <c r="B263" s="123">
        <v>228</v>
      </c>
      <c r="C263" s="188" t="s">
        <v>14</v>
      </c>
      <c r="D263" s="248" t="s">
        <v>728</v>
      </c>
      <c r="E263" s="170">
        <v>1953.85</v>
      </c>
      <c r="F263" s="199"/>
      <c r="G263" s="200"/>
    </row>
    <row r="264" spans="1:7" s="149" customFormat="1" ht="13.5" customHeight="1">
      <c r="A264" s="184">
        <v>40410</v>
      </c>
      <c r="B264" s="123">
        <v>229</v>
      </c>
      <c r="C264" s="188" t="s">
        <v>14</v>
      </c>
      <c r="D264" s="248" t="s">
        <v>729</v>
      </c>
      <c r="E264" s="170">
        <v>5558.33</v>
      </c>
      <c r="F264" s="199"/>
      <c r="G264" s="200"/>
    </row>
    <row r="265" spans="1:7" s="149" customFormat="1" ht="13.5" customHeight="1">
      <c r="A265" s="184">
        <v>40410</v>
      </c>
      <c r="B265" s="123">
        <v>230</v>
      </c>
      <c r="C265" s="188" t="s">
        <v>14</v>
      </c>
      <c r="D265" s="248" t="s">
        <v>730</v>
      </c>
      <c r="E265" s="170">
        <v>206.41</v>
      </c>
      <c r="F265" s="199"/>
      <c r="G265" s="200"/>
    </row>
    <row r="266" spans="1:7" s="149" customFormat="1" ht="13.5" customHeight="1">
      <c r="A266" s="184">
        <v>40410</v>
      </c>
      <c r="B266" s="123">
        <v>231</v>
      </c>
      <c r="C266" s="188" t="s">
        <v>14</v>
      </c>
      <c r="D266" s="248" t="s">
        <v>731</v>
      </c>
      <c r="E266" s="170">
        <v>2053.85</v>
      </c>
      <c r="F266" s="199"/>
      <c r="G266" s="200"/>
    </row>
    <row r="267" spans="1:7" s="110" customFormat="1" ht="13.5" customHeight="1">
      <c r="A267" s="164">
        <v>40410</v>
      </c>
      <c r="B267" s="127">
        <v>232</v>
      </c>
      <c r="C267" s="131" t="s">
        <v>14</v>
      </c>
      <c r="D267" s="248" t="s">
        <v>732</v>
      </c>
      <c r="E267" s="170">
        <v>1825.64</v>
      </c>
      <c r="F267" s="190"/>
      <c r="G267" s="168"/>
    </row>
    <row r="268" spans="1:11" s="126" customFormat="1" ht="12.75">
      <c r="A268" s="184">
        <v>40410</v>
      </c>
      <c r="B268" s="185">
        <v>232</v>
      </c>
      <c r="C268" s="185">
        <v>35</v>
      </c>
      <c r="D268" s="126" t="s">
        <v>733</v>
      </c>
      <c r="E268" s="171">
        <v>1612.5</v>
      </c>
      <c r="F268" s="171"/>
      <c r="G268" s="171"/>
      <c r="H268" s="149"/>
      <c r="I268" s="149"/>
      <c r="J268" s="240"/>
      <c r="K268" s="171"/>
    </row>
    <row r="269" spans="1:10" s="110" customFormat="1" ht="12.75">
      <c r="A269" s="164">
        <v>40413</v>
      </c>
      <c r="B269" s="127">
        <v>233</v>
      </c>
      <c r="C269" s="131" t="s">
        <v>114</v>
      </c>
      <c r="D269" s="149" t="s">
        <v>734</v>
      </c>
      <c r="E269" s="170">
        <v>-250</v>
      </c>
      <c r="F269" s="190"/>
      <c r="G269" s="168"/>
      <c r="J269" s="129"/>
    </row>
    <row r="270" spans="1:10" s="110" customFormat="1" ht="12.75">
      <c r="A270" s="164">
        <v>40413</v>
      </c>
      <c r="B270" s="127">
        <v>233</v>
      </c>
      <c r="C270" s="131" t="s">
        <v>114</v>
      </c>
      <c r="D270" s="149" t="s">
        <v>735</v>
      </c>
      <c r="E270" s="170">
        <v>-2530</v>
      </c>
      <c r="F270" s="190"/>
      <c r="G270" s="168"/>
      <c r="J270" s="129"/>
    </row>
    <row r="271" spans="1:7" s="149" customFormat="1" ht="13.5" customHeight="1">
      <c r="A271" s="184">
        <v>40413</v>
      </c>
      <c r="B271" s="123">
        <v>234</v>
      </c>
      <c r="C271" s="188" t="s">
        <v>14</v>
      </c>
      <c r="D271" s="248" t="s">
        <v>742</v>
      </c>
      <c r="E271" s="170">
        <v>3960.9</v>
      </c>
      <c r="F271" s="199"/>
      <c r="G271" s="200"/>
    </row>
    <row r="272" spans="1:7" s="149" customFormat="1" ht="13.5" customHeight="1">
      <c r="A272" s="184">
        <v>40413</v>
      </c>
      <c r="B272" s="123">
        <v>235</v>
      </c>
      <c r="C272" s="188" t="s">
        <v>14</v>
      </c>
      <c r="D272" s="248" t="s">
        <v>743</v>
      </c>
      <c r="E272" s="170">
        <v>7465.4</v>
      </c>
      <c r="F272" s="199"/>
      <c r="G272" s="200"/>
    </row>
    <row r="273" spans="1:11" s="126" customFormat="1" ht="12.75">
      <c r="A273" s="184">
        <v>40413</v>
      </c>
      <c r="B273" s="185">
        <v>236</v>
      </c>
      <c r="C273" s="185">
        <v>35</v>
      </c>
      <c r="D273" s="126" t="s">
        <v>744</v>
      </c>
      <c r="E273" s="171">
        <v>700</v>
      </c>
      <c r="F273" s="171"/>
      <c r="G273" s="171"/>
      <c r="H273" s="149"/>
      <c r="I273" s="149"/>
      <c r="J273" s="240"/>
      <c r="K273" s="171"/>
    </row>
    <row r="274" spans="1:11" s="126" customFormat="1" ht="12.75">
      <c r="A274" s="164">
        <v>40413</v>
      </c>
      <c r="B274" s="185">
        <v>237</v>
      </c>
      <c r="C274" s="185">
        <v>35</v>
      </c>
      <c r="D274" s="126" t="s">
        <v>759</v>
      </c>
      <c r="E274" s="171">
        <v>1600</v>
      </c>
      <c r="F274" s="171"/>
      <c r="G274" s="171"/>
      <c r="H274" s="149"/>
      <c r="I274" s="149"/>
      <c r="J274" s="240"/>
      <c r="K274" s="171"/>
    </row>
    <row r="275" spans="1:11" s="126" customFormat="1" ht="12.75">
      <c r="A275" s="184">
        <v>40413</v>
      </c>
      <c r="B275" s="185">
        <v>238</v>
      </c>
      <c r="C275" s="185">
        <v>35</v>
      </c>
      <c r="D275" s="126" t="s">
        <v>713</v>
      </c>
      <c r="E275" s="171">
        <v>237.5</v>
      </c>
      <c r="F275" s="171"/>
      <c r="G275" s="171"/>
      <c r="H275" s="149"/>
      <c r="I275" s="149"/>
      <c r="J275" s="240"/>
      <c r="K275" s="171"/>
    </row>
    <row r="276" spans="1:10" s="110" customFormat="1" ht="12.75">
      <c r="A276" s="164">
        <v>40413</v>
      </c>
      <c r="B276" s="127">
        <v>239</v>
      </c>
      <c r="C276" s="131" t="s">
        <v>183</v>
      </c>
      <c r="D276" s="149" t="s">
        <v>718</v>
      </c>
      <c r="E276" s="170">
        <v>850</v>
      </c>
      <c r="F276" s="190"/>
      <c r="G276" s="168"/>
      <c r="J276" s="129"/>
    </row>
    <row r="277" spans="1:7" s="110" customFormat="1" ht="13.5" customHeight="1">
      <c r="A277" s="164">
        <v>40414</v>
      </c>
      <c r="B277" s="127">
        <v>240</v>
      </c>
      <c r="C277" s="131" t="s">
        <v>226</v>
      </c>
      <c r="D277" s="149" t="s">
        <v>745</v>
      </c>
      <c r="E277" s="170">
        <v>-31</v>
      </c>
      <c r="F277" s="190"/>
      <c r="G277" s="168"/>
    </row>
    <row r="278" spans="1:8" s="110" customFormat="1" ht="13.5" customHeight="1">
      <c r="A278" s="164">
        <v>40415</v>
      </c>
      <c r="B278" s="127">
        <v>241</v>
      </c>
      <c r="C278" s="131">
        <v>45</v>
      </c>
      <c r="D278" s="149" t="s">
        <v>749</v>
      </c>
      <c r="E278" s="170">
        <v>-37500</v>
      </c>
      <c r="F278" s="190"/>
      <c r="G278" s="168"/>
      <c r="H278" s="243"/>
    </row>
    <row r="279" spans="1:8" s="110" customFormat="1" ht="13.5" customHeight="1">
      <c r="A279" s="164">
        <v>40415</v>
      </c>
      <c r="B279" s="127">
        <v>242</v>
      </c>
      <c r="C279" s="131">
        <v>45</v>
      </c>
      <c r="D279" s="149" t="s">
        <v>750</v>
      </c>
      <c r="E279" s="170">
        <v>-7000</v>
      </c>
      <c r="F279" s="190"/>
      <c r="G279" s="168"/>
      <c r="H279" s="243"/>
    </row>
    <row r="280" spans="1:11" s="126" customFormat="1" ht="12.75">
      <c r="A280" s="184">
        <v>40415</v>
      </c>
      <c r="B280" s="185">
        <v>243</v>
      </c>
      <c r="C280" s="185">
        <v>35</v>
      </c>
      <c r="D280" s="126" t="s">
        <v>717</v>
      </c>
      <c r="E280" s="171">
        <v>237.5</v>
      </c>
      <c r="F280" s="171"/>
      <c r="G280" s="171"/>
      <c r="H280" s="149"/>
      <c r="I280" s="149"/>
      <c r="J280" s="240"/>
      <c r="K280" s="171"/>
    </row>
    <row r="281" spans="1:11" s="126" customFormat="1" ht="12.75">
      <c r="A281" s="184">
        <v>40415</v>
      </c>
      <c r="B281" s="185">
        <v>244</v>
      </c>
      <c r="C281" s="185">
        <v>35</v>
      </c>
      <c r="D281" s="126" t="s">
        <v>755</v>
      </c>
      <c r="E281" s="171">
        <v>1918.5</v>
      </c>
      <c r="F281" s="171"/>
      <c r="G281" s="171"/>
      <c r="H281" s="149"/>
      <c r="I281" s="149"/>
      <c r="J281" s="240"/>
      <c r="K281" s="171"/>
    </row>
    <row r="282" spans="1:11" s="126" customFormat="1" ht="12.75">
      <c r="A282" s="184">
        <v>40415</v>
      </c>
      <c r="B282" s="185">
        <v>245</v>
      </c>
      <c r="C282" s="185">
        <v>35</v>
      </c>
      <c r="D282" s="126" t="s">
        <v>756</v>
      </c>
      <c r="E282" s="171">
        <v>5543.5</v>
      </c>
      <c r="F282" s="171"/>
      <c r="G282" s="171"/>
      <c r="H282" s="149"/>
      <c r="I282" s="149"/>
      <c r="J282" s="240"/>
      <c r="K282" s="171"/>
    </row>
    <row r="283" spans="1:11" s="126" customFormat="1" ht="12.75">
      <c r="A283" s="184">
        <v>40415</v>
      </c>
      <c r="B283" s="185">
        <v>246</v>
      </c>
      <c r="C283" s="185">
        <v>35</v>
      </c>
      <c r="D283" s="126" t="s">
        <v>757</v>
      </c>
      <c r="E283" s="171">
        <v>4306</v>
      </c>
      <c r="F283" s="171"/>
      <c r="G283" s="171"/>
      <c r="H283" s="149"/>
      <c r="I283" s="149"/>
      <c r="J283" s="240"/>
      <c r="K283" s="171"/>
    </row>
    <row r="284" spans="1:11" s="110" customFormat="1" ht="12.75">
      <c r="A284" s="164">
        <v>40416</v>
      </c>
      <c r="B284" s="1">
        <v>247</v>
      </c>
      <c r="C284" s="127">
        <v>44</v>
      </c>
      <c r="D284" s="149" t="s">
        <v>748</v>
      </c>
      <c r="E284" s="170">
        <v>-1328</v>
      </c>
      <c r="F284" s="128"/>
      <c r="G284" s="170"/>
      <c r="H284" s="235"/>
      <c r="I284" s="235"/>
      <c r="K284" s="128"/>
    </row>
    <row r="285" spans="1:11" s="126" customFormat="1" ht="12.75">
      <c r="A285" s="184">
        <v>40416</v>
      </c>
      <c r="B285" s="185">
        <v>248</v>
      </c>
      <c r="C285" s="185">
        <v>35</v>
      </c>
      <c r="D285" s="126" t="s">
        <v>715</v>
      </c>
      <c r="E285" s="171">
        <v>475</v>
      </c>
      <c r="F285" s="171"/>
      <c r="G285" s="171"/>
      <c r="H285" s="149"/>
      <c r="I285" s="149"/>
      <c r="J285" s="240"/>
      <c r="K285" s="171"/>
    </row>
    <row r="286" spans="1:7" s="110" customFormat="1" ht="13.5" customHeight="1">
      <c r="A286" s="164">
        <v>40417</v>
      </c>
      <c r="B286" s="127">
        <v>249</v>
      </c>
      <c r="C286" s="131" t="s">
        <v>115</v>
      </c>
      <c r="D286" s="110" t="s">
        <v>758</v>
      </c>
      <c r="E286" s="170">
        <v>-2630</v>
      </c>
      <c r="F286" s="190"/>
      <c r="G286" s="168"/>
    </row>
    <row r="287" spans="1:7" s="149" customFormat="1" ht="13.5" customHeight="1">
      <c r="A287" s="164">
        <v>40420</v>
      </c>
      <c r="B287" s="123">
        <v>250</v>
      </c>
      <c r="C287" s="188" t="s">
        <v>14</v>
      </c>
      <c r="D287" s="248" t="s">
        <v>754</v>
      </c>
      <c r="E287" s="170">
        <v>5477</v>
      </c>
      <c r="F287" s="199"/>
      <c r="G287" s="200"/>
    </row>
    <row r="288" spans="1:11" s="126" customFormat="1" ht="12.75">
      <c r="A288" s="164">
        <v>40420</v>
      </c>
      <c r="B288" s="185">
        <v>251</v>
      </c>
      <c r="C288" s="185">
        <v>35</v>
      </c>
      <c r="D288" s="126" t="s">
        <v>762</v>
      </c>
      <c r="E288" s="171">
        <v>156.5</v>
      </c>
      <c r="F288" s="171"/>
      <c r="G288" s="171"/>
      <c r="H288" s="149"/>
      <c r="I288" s="149"/>
      <c r="J288" s="240"/>
      <c r="K288" s="171"/>
    </row>
    <row r="289" spans="1:7" s="149" customFormat="1" ht="13.5" customHeight="1">
      <c r="A289" s="164">
        <v>40420</v>
      </c>
      <c r="B289" s="123">
        <v>252</v>
      </c>
      <c r="C289" s="188" t="s">
        <v>14</v>
      </c>
      <c r="D289" s="248" t="s">
        <v>752</v>
      </c>
      <c r="E289" s="170">
        <v>4800</v>
      </c>
      <c r="F289" s="199"/>
      <c r="G289" s="200"/>
    </row>
    <row r="290" spans="1:11" s="110" customFormat="1" ht="12.75">
      <c r="A290" s="164">
        <v>40421</v>
      </c>
      <c r="B290" s="1">
        <v>253</v>
      </c>
      <c r="C290" s="127">
        <v>44</v>
      </c>
      <c r="D290" s="149" t="s">
        <v>786</v>
      </c>
      <c r="E290" s="170">
        <v>-7200</v>
      </c>
      <c r="F290" s="128"/>
      <c r="G290" s="170"/>
      <c r="H290" s="235"/>
      <c r="I290" s="235"/>
      <c r="K290" s="128"/>
    </row>
    <row r="291" spans="1:8" s="110" customFormat="1" ht="12.75">
      <c r="A291" s="164">
        <v>40421</v>
      </c>
      <c r="B291" s="127">
        <v>254</v>
      </c>
      <c r="C291" s="131">
        <v>64</v>
      </c>
      <c r="D291" s="149" t="s">
        <v>760</v>
      </c>
      <c r="E291" s="170">
        <v>-31103</v>
      </c>
      <c r="F291" s="190"/>
      <c r="G291" s="169"/>
      <c r="H291" s="243"/>
    </row>
    <row r="292" spans="1:8" s="110" customFormat="1" ht="12.75">
      <c r="A292" s="164">
        <v>40421</v>
      </c>
      <c r="B292" s="127">
        <v>255</v>
      </c>
      <c r="C292" s="131">
        <v>64</v>
      </c>
      <c r="D292" s="149" t="s">
        <v>761</v>
      </c>
      <c r="E292" s="170">
        <v>2200</v>
      </c>
      <c r="F292" s="190"/>
      <c r="G292" s="169"/>
      <c r="H292" s="243"/>
    </row>
    <row r="293" spans="1:11" s="126" customFormat="1" ht="12.75">
      <c r="A293" s="164">
        <v>40421</v>
      </c>
      <c r="B293" s="185">
        <v>256</v>
      </c>
      <c r="C293" s="185">
        <v>35</v>
      </c>
      <c r="D293" s="126" t="s">
        <v>768</v>
      </c>
      <c r="E293" s="171">
        <v>387.5</v>
      </c>
      <c r="F293" s="171"/>
      <c r="G293" s="171"/>
      <c r="H293" s="149"/>
      <c r="I293" s="149"/>
      <c r="J293" s="240"/>
      <c r="K293" s="171"/>
    </row>
    <row r="294" spans="1:9" s="126" customFormat="1" ht="12.75">
      <c r="A294" s="184">
        <v>40421</v>
      </c>
      <c r="B294" s="185">
        <v>257</v>
      </c>
      <c r="C294" s="247">
        <v>52</v>
      </c>
      <c r="D294" s="216" t="s">
        <v>789</v>
      </c>
      <c r="E294" s="171">
        <v>-38</v>
      </c>
      <c r="F294" s="254"/>
      <c r="G294" s="255"/>
      <c r="H294" s="149"/>
      <c r="I294" s="149"/>
    </row>
    <row r="295" spans="1:10" s="110" customFormat="1" ht="12.75">
      <c r="A295" s="164">
        <v>40422</v>
      </c>
      <c r="B295" s="127">
        <v>258</v>
      </c>
      <c r="C295" s="131" t="s">
        <v>183</v>
      </c>
      <c r="D295" s="149" t="s">
        <v>597</v>
      </c>
      <c r="E295" s="252">
        <v>850</v>
      </c>
      <c r="F295" s="190"/>
      <c r="G295" s="168"/>
      <c r="J295" s="129"/>
    </row>
    <row r="296" spans="1:11" s="126" customFormat="1" ht="12.75">
      <c r="A296" s="164">
        <v>40422</v>
      </c>
      <c r="B296" s="185">
        <v>259</v>
      </c>
      <c r="C296" s="185">
        <v>35</v>
      </c>
      <c r="D296" s="126" t="s">
        <v>430</v>
      </c>
      <c r="E296" s="171">
        <v>395</v>
      </c>
      <c r="F296" s="171"/>
      <c r="G296" s="171"/>
      <c r="H296" s="149"/>
      <c r="I296" s="149"/>
      <c r="J296" s="240"/>
      <c r="K296" s="171"/>
    </row>
    <row r="297" spans="1:11" s="126" customFormat="1" ht="12.75">
      <c r="A297" s="164">
        <v>40422</v>
      </c>
      <c r="B297" s="185">
        <v>260</v>
      </c>
      <c r="C297" s="185">
        <v>35</v>
      </c>
      <c r="D297" s="126" t="s">
        <v>765</v>
      </c>
      <c r="E297" s="171">
        <v>2212.5</v>
      </c>
      <c r="F297" s="171"/>
      <c r="G297" s="171"/>
      <c r="H297" s="149"/>
      <c r="I297" s="149"/>
      <c r="J297" s="240"/>
      <c r="K297" s="171"/>
    </row>
    <row r="298" spans="1:7" s="149" customFormat="1" ht="13.5" customHeight="1">
      <c r="A298" s="164">
        <v>40423</v>
      </c>
      <c r="B298" s="123">
        <v>261</v>
      </c>
      <c r="C298" s="188" t="s">
        <v>14</v>
      </c>
      <c r="D298" s="248" t="s">
        <v>753</v>
      </c>
      <c r="E298" s="170">
        <v>1100</v>
      </c>
      <c r="F298" s="199"/>
      <c r="G298" s="200"/>
    </row>
    <row r="299" spans="1:11" s="126" customFormat="1" ht="12.75">
      <c r="A299" s="184">
        <v>40423</v>
      </c>
      <c r="B299" s="185">
        <v>262</v>
      </c>
      <c r="C299" s="185">
        <v>35</v>
      </c>
      <c r="D299" s="126" t="s">
        <v>714</v>
      </c>
      <c r="E299" s="171">
        <v>237.5</v>
      </c>
      <c r="F299" s="171"/>
      <c r="G299" s="171"/>
      <c r="H299" s="149"/>
      <c r="I299" s="149"/>
      <c r="J299" s="240"/>
      <c r="K299" s="171"/>
    </row>
    <row r="300" spans="1:11" s="126" customFormat="1" ht="12.75">
      <c r="A300" s="184">
        <v>40424</v>
      </c>
      <c r="B300" s="185">
        <v>263</v>
      </c>
      <c r="C300" s="185">
        <v>35</v>
      </c>
      <c r="D300" s="126" t="s">
        <v>773</v>
      </c>
      <c r="E300" s="171">
        <v>200</v>
      </c>
      <c r="F300" s="171"/>
      <c r="G300" s="171"/>
      <c r="H300" s="149"/>
      <c r="I300" s="149"/>
      <c r="J300" s="240"/>
      <c r="K300" s="171"/>
    </row>
    <row r="301" spans="1:11" s="126" customFormat="1" ht="12.75">
      <c r="A301" s="184">
        <v>40424</v>
      </c>
      <c r="B301" s="185">
        <v>264</v>
      </c>
      <c r="C301" s="185">
        <v>35</v>
      </c>
      <c r="D301" s="126" t="s">
        <v>776</v>
      </c>
      <c r="E301" s="171">
        <v>200</v>
      </c>
      <c r="F301" s="171"/>
      <c r="G301" s="171"/>
      <c r="H301" s="149"/>
      <c r="I301" s="149"/>
      <c r="J301" s="240"/>
      <c r="K301" s="171"/>
    </row>
    <row r="302" spans="1:11" s="149" customFormat="1" ht="12.75">
      <c r="A302" s="280">
        <v>40424</v>
      </c>
      <c r="B302" s="123">
        <v>265</v>
      </c>
      <c r="C302" s="123">
        <v>35</v>
      </c>
      <c r="D302" s="149" t="s">
        <v>777</v>
      </c>
      <c r="E302" s="170">
        <v>600</v>
      </c>
      <c r="F302" s="170"/>
      <c r="G302" s="170"/>
      <c r="J302" s="201"/>
      <c r="K302" s="170"/>
    </row>
    <row r="303" spans="1:10" s="110" customFormat="1" ht="12.75">
      <c r="A303" s="164">
        <v>40427</v>
      </c>
      <c r="B303" s="127">
        <v>266</v>
      </c>
      <c r="C303" s="131" t="s">
        <v>114</v>
      </c>
      <c r="D303" s="149" t="s">
        <v>746</v>
      </c>
      <c r="E303" s="170">
        <v>-2920</v>
      </c>
      <c r="F303" s="190"/>
      <c r="G303" s="168"/>
      <c r="J303" s="129"/>
    </row>
    <row r="304" spans="1:11" s="126" customFormat="1" ht="12.75">
      <c r="A304" s="164">
        <v>40427</v>
      </c>
      <c r="B304" s="185">
        <v>267</v>
      </c>
      <c r="C304" s="185">
        <v>35</v>
      </c>
      <c r="D304" s="126" t="s">
        <v>782</v>
      </c>
      <c r="E304" s="171">
        <v>200</v>
      </c>
      <c r="F304" s="171"/>
      <c r="G304" s="171"/>
      <c r="H304" s="149"/>
      <c r="I304" s="149"/>
      <c r="J304" s="240"/>
      <c r="K304" s="171"/>
    </row>
    <row r="305" spans="1:11" s="126" customFormat="1" ht="12.75">
      <c r="A305" s="164">
        <v>40427</v>
      </c>
      <c r="B305" s="185">
        <v>268</v>
      </c>
      <c r="C305" s="185">
        <v>35</v>
      </c>
      <c r="D305" s="126" t="s">
        <v>770</v>
      </c>
      <c r="E305" s="171">
        <v>400</v>
      </c>
      <c r="F305" s="171"/>
      <c r="G305" s="171"/>
      <c r="H305" s="149"/>
      <c r="I305" s="149"/>
      <c r="J305" s="240"/>
      <c r="K305" s="171"/>
    </row>
    <row r="306" spans="1:11" s="126" customFormat="1" ht="12.75">
      <c r="A306" s="164">
        <v>40427</v>
      </c>
      <c r="B306" s="185">
        <v>269</v>
      </c>
      <c r="C306" s="185">
        <v>35</v>
      </c>
      <c r="D306" s="126" t="s">
        <v>785</v>
      </c>
      <c r="E306" s="171">
        <v>200</v>
      </c>
      <c r="F306" s="171"/>
      <c r="G306" s="171"/>
      <c r="H306" s="149"/>
      <c r="I306" s="149"/>
      <c r="J306" s="240"/>
      <c r="K306" s="171"/>
    </row>
    <row r="307" spans="1:10" s="149" customFormat="1" ht="12.75">
      <c r="A307" s="184">
        <v>40428</v>
      </c>
      <c r="B307" s="123">
        <v>270</v>
      </c>
      <c r="C307" s="188" t="s">
        <v>183</v>
      </c>
      <c r="D307" s="149" t="s">
        <v>600</v>
      </c>
      <c r="E307" s="170">
        <v>400</v>
      </c>
      <c r="F307" s="199"/>
      <c r="G307" s="200"/>
      <c r="J307" s="201"/>
    </row>
    <row r="308" spans="1:11" s="126" customFormat="1" ht="12.75">
      <c r="A308" s="184">
        <v>40428</v>
      </c>
      <c r="B308" s="185">
        <v>271</v>
      </c>
      <c r="C308" s="185">
        <v>35</v>
      </c>
      <c r="D308" s="126" t="s">
        <v>783</v>
      </c>
      <c r="E308" s="171">
        <v>200</v>
      </c>
      <c r="F308" s="171"/>
      <c r="G308" s="171"/>
      <c r="H308" s="149"/>
      <c r="I308" s="149"/>
      <c r="J308" s="240"/>
      <c r="K308" s="171"/>
    </row>
    <row r="309" spans="1:9" s="110" customFormat="1" ht="12.75">
      <c r="A309" s="164">
        <v>40429</v>
      </c>
      <c r="B309" s="127">
        <v>272</v>
      </c>
      <c r="C309" s="131">
        <v>64</v>
      </c>
      <c r="D309" s="149" t="s">
        <v>790</v>
      </c>
      <c r="E309" s="170">
        <v>-11199</v>
      </c>
      <c r="F309" s="190"/>
      <c r="G309" s="169"/>
      <c r="H309" s="235"/>
      <c r="I309" s="235"/>
    </row>
    <row r="310" spans="1:11" s="110" customFormat="1" ht="12.75">
      <c r="A310" s="164">
        <v>40429</v>
      </c>
      <c r="B310" s="1">
        <v>273</v>
      </c>
      <c r="C310" s="127">
        <v>44</v>
      </c>
      <c r="D310" s="149" t="s">
        <v>791</v>
      </c>
      <c r="E310" s="170">
        <v>-6380</v>
      </c>
      <c r="F310" s="128"/>
      <c r="G310" s="170"/>
      <c r="H310" s="235"/>
      <c r="I310" s="235"/>
      <c r="K310" s="128"/>
    </row>
    <row r="311" spans="1:11" s="126" customFormat="1" ht="12.75">
      <c r="A311" s="184">
        <v>40430</v>
      </c>
      <c r="B311" s="185">
        <v>274</v>
      </c>
      <c r="C311" s="185">
        <v>35</v>
      </c>
      <c r="D311" s="126" t="s">
        <v>764</v>
      </c>
      <c r="E311" s="171">
        <v>1387.5</v>
      </c>
      <c r="F311" s="171"/>
      <c r="G311" s="171"/>
      <c r="H311" s="149"/>
      <c r="I311" s="149"/>
      <c r="J311" s="240"/>
      <c r="K311" s="171"/>
    </row>
    <row r="312" spans="1:11" s="126" customFormat="1" ht="12.75">
      <c r="A312" s="184">
        <v>40431</v>
      </c>
      <c r="B312" s="185">
        <v>275</v>
      </c>
      <c r="C312" s="185">
        <v>35</v>
      </c>
      <c r="D312" s="126" t="s">
        <v>779</v>
      </c>
      <c r="E312" s="171">
        <v>400</v>
      </c>
      <c r="F312" s="171"/>
      <c r="G312" s="171"/>
      <c r="H312" s="149"/>
      <c r="I312" s="149"/>
      <c r="J312" s="240"/>
      <c r="K312" s="171"/>
    </row>
    <row r="313" spans="1:11" s="126" customFormat="1" ht="12.75">
      <c r="A313" s="184">
        <v>40431</v>
      </c>
      <c r="B313" s="185">
        <v>276</v>
      </c>
      <c r="C313" s="185">
        <v>35</v>
      </c>
      <c r="D313" s="126" t="s">
        <v>769</v>
      </c>
      <c r="E313" s="171">
        <v>1375</v>
      </c>
      <c r="F313" s="171"/>
      <c r="G313" s="171"/>
      <c r="H313" s="149"/>
      <c r="I313" s="149"/>
      <c r="J313" s="240"/>
      <c r="K313" s="171"/>
    </row>
    <row r="314" spans="1:11" s="126" customFormat="1" ht="12.75">
      <c r="A314" s="164">
        <v>40434</v>
      </c>
      <c r="B314" s="185">
        <v>277</v>
      </c>
      <c r="C314" s="185">
        <v>35</v>
      </c>
      <c r="D314" s="126" t="s">
        <v>766</v>
      </c>
      <c r="E314" s="171">
        <v>2328</v>
      </c>
      <c r="F314" s="171"/>
      <c r="G314" s="171"/>
      <c r="H314" s="149"/>
      <c r="I314" s="149"/>
      <c r="J314" s="240"/>
      <c r="K314" s="171"/>
    </row>
    <row r="315" spans="1:10" s="110" customFormat="1" ht="12.75">
      <c r="A315" s="164">
        <v>40434</v>
      </c>
      <c r="B315" s="127">
        <v>278</v>
      </c>
      <c r="C315" s="131" t="s">
        <v>114</v>
      </c>
      <c r="D315" s="149" t="s">
        <v>795</v>
      </c>
      <c r="E315" s="170">
        <v>-270</v>
      </c>
      <c r="F315" s="190"/>
      <c r="G315" s="168"/>
      <c r="J315" s="129"/>
    </row>
    <row r="316" spans="1:10" s="110" customFormat="1" ht="12.75">
      <c r="A316" s="164">
        <v>40434</v>
      </c>
      <c r="B316" s="127">
        <v>279</v>
      </c>
      <c r="C316" s="131" t="s">
        <v>114</v>
      </c>
      <c r="D316" s="149" t="s">
        <v>794</v>
      </c>
      <c r="E316" s="170">
        <v>-850</v>
      </c>
      <c r="F316" s="190"/>
      <c r="G316" s="168"/>
      <c r="J316" s="129"/>
    </row>
    <row r="317" spans="1:10" s="110" customFormat="1" ht="12.75">
      <c r="A317" s="164">
        <v>40434</v>
      </c>
      <c r="B317" s="127">
        <v>279</v>
      </c>
      <c r="C317" s="131">
        <v>52</v>
      </c>
      <c r="D317" s="149" t="s">
        <v>799</v>
      </c>
      <c r="E317" s="170">
        <v>-100</v>
      </c>
      <c r="F317" s="190"/>
      <c r="G317" s="168"/>
      <c r="J317" s="129"/>
    </row>
    <row r="318" spans="1:11" s="110" customFormat="1" ht="12.75">
      <c r="A318" s="164">
        <v>40435</v>
      </c>
      <c r="B318" s="1">
        <v>280</v>
      </c>
      <c r="C318" s="127">
        <v>44</v>
      </c>
      <c r="D318" s="149" t="s">
        <v>816</v>
      </c>
      <c r="E318" s="170">
        <v>-20695</v>
      </c>
      <c r="F318" s="128"/>
      <c r="G318" s="170"/>
      <c r="H318" s="235"/>
      <c r="I318" s="235"/>
      <c r="K318" s="128"/>
    </row>
    <row r="319" spans="1:10" s="110" customFormat="1" ht="12.75">
      <c r="A319" s="164">
        <v>40435</v>
      </c>
      <c r="B319" s="127">
        <v>281</v>
      </c>
      <c r="C319" s="131" t="s">
        <v>114</v>
      </c>
      <c r="D319" s="149" t="s">
        <v>808</v>
      </c>
      <c r="E319" s="170">
        <v>-2064.48</v>
      </c>
      <c r="F319" s="190"/>
      <c r="G319" s="168"/>
      <c r="J319" s="129"/>
    </row>
    <row r="320" spans="1:16" ht="12.75">
      <c r="A320" s="164">
        <v>40435</v>
      </c>
      <c r="B320" s="1">
        <v>281</v>
      </c>
      <c r="C320" s="1">
        <v>52</v>
      </c>
      <c r="D320" s="126" t="s">
        <v>453</v>
      </c>
      <c r="E320" s="5">
        <v>-30</v>
      </c>
      <c r="G320" s="5"/>
      <c r="H320" s="235"/>
      <c r="I320" s="235"/>
      <c r="J320" s="129"/>
      <c r="K320" s="128"/>
      <c r="L320" s="110"/>
      <c r="M320" s="169"/>
      <c r="N320" s="169"/>
      <c r="P320" s="2">
        <f>800/12/2</f>
        <v>33.333333333333336</v>
      </c>
    </row>
    <row r="321" spans="1:11" s="126" customFormat="1" ht="12.75">
      <c r="A321" s="184">
        <v>40435</v>
      </c>
      <c r="B321" s="185">
        <v>282</v>
      </c>
      <c r="C321" s="185">
        <v>35</v>
      </c>
      <c r="D321" s="126" t="s">
        <v>775</v>
      </c>
      <c r="E321" s="171">
        <v>600</v>
      </c>
      <c r="F321" s="171"/>
      <c r="G321" s="171"/>
      <c r="H321" s="149"/>
      <c r="I321" s="149"/>
      <c r="J321" s="240"/>
      <c r="K321" s="171"/>
    </row>
    <row r="322" spans="1:7" s="149" customFormat="1" ht="13.5" customHeight="1">
      <c r="A322" s="184">
        <v>40435</v>
      </c>
      <c r="B322" s="123">
        <v>283</v>
      </c>
      <c r="C322" s="188" t="s">
        <v>41</v>
      </c>
      <c r="D322" s="248" t="s">
        <v>817</v>
      </c>
      <c r="E322" s="170">
        <v>12720</v>
      </c>
      <c r="F322" s="199"/>
      <c r="G322" s="200"/>
    </row>
    <row r="323" spans="1:7" s="149" customFormat="1" ht="13.5" customHeight="1">
      <c r="A323" s="184">
        <v>40435</v>
      </c>
      <c r="B323" s="123">
        <v>284</v>
      </c>
      <c r="C323" s="188" t="s">
        <v>14</v>
      </c>
      <c r="D323" s="248" t="s">
        <v>814</v>
      </c>
      <c r="E323" s="170">
        <v>1310</v>
      </c>
      <c r="F323" s="199"/>
      <c r="G323" s="200"/>
    </row>
    <row r="324" spans="1:7" s="149" customFormat="1" ht="13.5" customHeight="1">
      <c r="A324" s="184">
        <v>40435</v>
      </c>
      <c r="B324" s="123">
        <v>285</v>
      </c>
      <c r="C324" s="188" t="s">
        <v>14</v>
      </c>
      <c r="D324" s="248" t="s">
        <v>812</v>
      </c>
      <c r="E324" s="170">
        <v>4000</v>
      </c>
      <c r="F324" s="199"/>
      <c r="G324" s="200"/>
    </row>
    <row r="325" spans="1:11" s="110" customFormat="1" ht="12.75">
      <c r="A325" s="164">
        <v>40436</v>
      </c>
      <c r="B325" s="1">
        <v>286</v>
      </c>
      <c r="C325" s="127">
        <v>45</v>
      </c>
      <c r="D325" s="149" t="s">
        <v>792</v>
      </c>
      <c r="E325" s="170">
        <v>-8000</v>
      </c>
      <c r="F325" s="128"/>
      <c r="G325" s="170"/>
      <c r="H325" s="243"/>
      <c r="K325" s="128"/>
    </row>
    <row r="326" spans="1:8" s="110" customFormat="1" ht="13.5" customHeight="1">
      <c r="A326" s="164">
        <v>40436</v>
      </c>
      <c r="B326" s="127">
        <v>287</v>
      </c>
      <c r="C326" s="131" t="s">
        <v>226</v>
      </c>
      <c r="D326" s="149" t="s">
        <v>820</v>
      </c>
      <c r="E326" s="170">
        <v>-400</v>
      </c>
      <c r="F326" s="190"/>
      <c r="G326" s="168"/>
      <c r="H326" s="243"/>
    </row>
    <row r="327" spans="1:10" s="110" customFormat="1" ht="12.75">
      <c r="A327" s="164">
        <v>40436</v>
      </c>
      <c r="B327" s="127">
        <v>288</v>
      </c>
      <c r="C327" s="131">
        <v>44</v>
      </c>
      <c r="D327" s="149" t="s">
        <v>804</v>
      </c>
      <c r="E327" s="170">
        <v>-5060</v>
      </c>
      <c r="F327" s="190"/>
      <c r="G327" s="168"/>
      <c r="J327" s="129"/>
    </row>
    <row r="328" spans="1:11" s="110" customFormat="1" ht="12.75">
      <c r="A328" s="164">
        <v>40436</v>
      </c>
      <c r="B328" s="1">
        <v>288</v>
      </c>
      <c r="C328" s="127">
        <v>44</v>
      </c>
      <c r="D328" s="149" t="s">
        <v>805</v>
      </c>
      <c r="E328" s="170">
        <v>-2000</v>
      </c>
      <c r="F328" s="128"/>
      <c r="G328" s="170"/>
      <c r="H328" s="235"/>
      <c r="I328" s="235"/>
      <c r="K328" s="128"/>
    </row>
    <row r="329" spans="1:7" s="149" customFormat="1" ht="13.5" customHeight="1">
      <c r="A329" s="184">
        <v>40437</v>
      </c>
      <c r="B329" s="123">
        <v>289</v>
      </c>
      <c r="C329" s="241" t="s">
        <v>34</v>
      </c>
      <c r="D329" s="149" t="s">
        <v>331</v>
      </c>
      <c r="E329" s="170">
        <v>4500</v>
      </c>
      <c r="F329" s="199"/>
      <c r="G329" s="200"/>
    </row>
    <row r="330" spans="1:11" s="126" customFormat="1" ht="12.75">
      <c r="A330" s="184">
        <v>40437</v>
      </c>
      <c r="B330" s="185">
        <v>290</v>
      </c>
      <c r="C330" s="185">
        <v>35</v>
      </c>
      <c r="D330" s="126" t="s">
        <v>781</v>
      </c>
      <c r="E330" s="171">
        <v>200</v>
      </c>
      <c r="F330" s="171"/>
      <c r="G330" s="171"/>
      <c r="H330" s="149"/>
      <c r="I330" s="149"/>
      <c r="J330" s="240"/>
      <c r="K330" s="171"/>
    </row>
    <row r="331" spans="1:10" s="110" customFormat="1" ht="12.75">
      <c r="A331" s="164">
        <v>40437</v>
      </c>
      <c r="B331" s="127">
        <v>291</v>
      </c>
      <c r="C331" s="77" t="s">
        <v>54</v>
      </c>
      <c r="D331" s="149" t="s">
        <v>838</v>
      </c>
      <c r="E331" s="170">
        <v>12245</v>
      </c>
      <c r="F331" s="190"/>
      <c r="G331" s="168"/>
      <c r="J331" s="129"/>
    </row>
    <row r="332" spans="1:9" s="126" customFormat="1" ht="12.75">
      <c r="A332" s="184">
        <v>40438</v>
      </c>
      <c r="B332" s="185">
        <v>292</v>
      </c>
      <c r="C332" s="247" t="s">
        <v>186</v>
      </c>
      <c r="D332" s="126" t="s">
        <v>839</v>
      </c>
      <c r="E332" s="171">
        <v>3200</v>
      </c>
      <c r="F332" s="171"/>
      <c r="G332" s="260"/>
      <c r="H332" s="149"/>
      <c r="I332" s="149"/>
    </row>
    <row r="333" spans="1:11" s="126" customFormat="1" ht="12.75">
      <c r="A333" s="164">
        <v>40438</v>
      </c>
      <c r="B333" s="185">
        <v>293</v>
      </c>
      <c r="C333" s="185">
        <v>35</v>
      </c>
      <c r="D333" s="126" t="s">
        <v>767</v>
      </c>
      <c r="E333" s="171">
        <v>1625</v>
      </c>
      <c r="F333" s="171"/>
      <c r="G333" s="171"/>
      <c r="H333" s="149"/>
      <c r="I333" s="149"/>
      <c r="J333" s="240"/>
      <c r="K333" s="171"/>
    </row>
    <row r="334" spans="1:7" s="149" customFormat="1" ht="13.5" customHeight="1">
      <c r="A334" s="164">
        <v>40438</v>
      </c>
      <c r="B334" s="123">
        <v>294</v>
      </c>
      <c r="C334" s="188" t="s">
        <v>14</v>
      </c>
      <c r="D334" s="248" t="s">
        <v>751</v>
      </c>
      <c r="E334" s="170">
        <v>5650</v>
      </c>
      <c r="F334" s="199"/>
      <c r="G334" s="200"/>
    </row>
    <row r="335" spans="1:7" s="149" customFormat="1" ht="13.5" customHeight="1">
      <c r="A335" s="164">
        <v>40438</v>
      </c>
      <c r="B335" s="123">
        <v>295</v>
      </c>
      <c r="C335" s="188" t="s">
        <v>14</v>
      </c>
      <c r="D335" s="248" t="s">
        <v>813</v>
      </c>
      <c r="E335" s="170">
        <v>600</v>
      </c>
      <c r="F335" s="199"/>
      <c r="G335" s="200"/>
    </row>
    <row r="336" spans="1:7" s="110" customFormat="1" ht="13.5" customHeight="1">
      <c r="A336" s="164">
        <v>40438</v>
      </c>
      <c r="B336" s="127">
        <v>296</v>
      </c>
      <c r="C336" s="197" t="s">
        <v>34</v>
      </c>
      <c r="D336" s="110" t="s">
        <v>335</v>
      </c>
      <c r="E336" s="170">
        <v>29400</v>
      </c>
      <c r="F336" s="190"/>
      <c r="G336" s="168"/>
    </row>
    <row r="337" spans="1:7" s="149" customFormat="1" ht="13.5" customHeight="1">
      <c r="A337" s="164">
        <v>40438</v>
      </c>
      <c r="B337" s="123">
        <v>297</v>
      </c>
      <c r="C337" s="188" t="s">
        <v>41</v>
      </c>
      <c r="D337" s="248" t="s">
        <v>818</v>
      </c>
      <c r="E337" s="170">
        <v>1690</v>
      </c>
      <c r="F337" s="199"/>
      <c r="G337" s="200"/>
    </row>
    <row r="338" spans="1:7" s="149" customFormat="1" ht="13.5" customHeight="1">
      <c r="A338" s="184">
        <v>40441</v>
      </c>
      <c r="B338" s="123">
        <v>298</v>
      </c>
      <c r="C338" s="241" t="s">
        <v>34</v>
      </c>
      <c r="D338" s="149" t="s">
        <v>334</v>
      </c>
      <c r="E338" s="170">
        <v>5200</v>
      </c>
      <c r="F338" s="199"/>
      <c r="G338" s="200"/>
    </row>
    <row r="339" spans="1:7" s="149" customFormat="1" ht="13.5" customHeight="1">
      <c r="A339" s="184">
        <v>40441</v>
      </c>
      <c r="B339" s="123">
        <v>299</v>
      </c>
      <c r="C339" s="241" t="s">
        <v>34</v>
      </c>
      <c r="D339" s="149" t="s">
        <v>307</v>
      </c>
      <c r="E339" s="170">
        <v>50600</v>
      </c>
      <c r="F339" s="199"/>
      <c r="G339" s="200"/>
    </row>
    <row r="340" spans="1:7" s="149" customFormat="1" ht="13.5" customHeight="1">
      <c r="A340" s="184">
        <v>40443</v>
      </c>
      <c r="B340" s="123">
        <v>300</v>
      </c>
      <c r="C340" s="241" t="s">
        <v>843</v>
      </c>
      <c r="D340" s="149" t="s">
        <v>863</v>
      </c>
      <c r="E340" s="170">
        <v>570</v>
      </c>
      <c r="F340" s="199"/>
      <c r="G340" s="200"/>
    </row>
    <row r="341" spans="1:11" s="126" customFormat="1" ht="12.75">
      <c r="A341" s="164">
        <v>40443</v>
      </c>
      <c r="B341" s="185">
        <v>301</v>
      </c>
      <c r="C341" s="185">
        <v>35</v>
      </c>
      <c r="D341" s="126" t="s">
        <v>780</v>
      </c>
      <c r="E341" s="171">
        <v>200</v>
      </c>
      <c r="F341" s="171"/>
      <c r="G341" s="171"/>
      <c r="H341" s="149"/>
      <c r="I341" s="149"/>
      <c r="J341" s="240"/>
      <c r="K341" s="171"/>
    </row>
    <row r="342" spans="1:7" s="110" customFormat="1" ht="13.5" customHeight="1">
      <c r="A342" s="184">
        <v>40443</v>
      </c>
      <c r="B342" s="127">
        <v>302</v>
      </c>
      <c r="C342" s="197" t="s">
        <v>34</v>
      </c>
      <c r="D342" s="110" t="s">
        <v>333</v>
      </c>
      <c r="E342" s="170">
        <v>3900</v>
      </c>
      <c r="F342" s="190"/>
      <c r="G342" s="168"/>
    </row>
    <row r="343" spans="1:7" s="149" customFormat="1" ht="13.5" customHeight="1">
      <c r="A343" s="164">
        <v>40443</v>
      </c>
      <c r="B343" s="123">
        <v>303</v>
      </c>
      <c r="C343" s="188" t="s">
        <v>14</v>
      </c>
      <c r="D343" s="248" t="s">
        <v>815</v>
      </c>
      <c r="E343" s="170">
        <v>200</v>
      </c>
      <c r="F343" s="199"/>
      <c r="G343" s="200"/>
    </row>
    <row r="344" spans="1:10" s="110" customFormat="1" ht="12.75">
      <c r="A344" s="164">
        <v>40443</v>
      </c>
      <c r="B344" s="127">
        <v>304</v>
      </c>
      <c r="C344" s="131" t="s">
        <v>114</v>
      </c>
      <c r="D344" s="149" t="s">
        <v>800</v>
      </c>
      <c r="E344" s="170">
        <v>-445</v>
      </c>
      <c r="F344" s="190"/>
      <c r="G344" s="168"/>
      <c r="J344" s="129"/>
    </row>
    <row r="345" spans="1:10" s="110" customFormat="1" ht="12.75">
      <c r="A345" s="164">
        <v>40443</v>
      </c>
      <c r="B345" s="127">
        <v>305</v>
      </c>
      <c r="C345" s="131" t="s">
        <v>114</v>
      </c>
      <c r="D345" s="149" t="s">
        <v>801</v>
      </c>
      <c r="E345" s="170">
        <v>-2720</v>
      </c>
      <c r="F345" s="190"/>
      <c r="G345" s="168"/>
      <c r="J345" s="129"/>
    </row>
    <row r="346" spans="1:11" s="110" customFormat="1" ht="12.75">
      <c r="A346" s="164">
        <v>40443</v>
      </c>
      <c r="B346" s="1">
        <v>306</v>
      </c>
      <c r="C346" s="127">
        <v>44</v>
      </c>
      <c r="D346" s="149" t="s">
        <v>842</v>
      </c>
      <c r="E346" s="170">
        <v>-900</v>
      </c>
      <c r="F346" s="128"/>
      <c r="G346" s="170"/>
      <c r="H346" s="235"/>
      <c r="I346" s="235"/>
      <c r="K346" s="128"/>
    </row>
    <row r="347" spans="1:11" s="126" customFormat="1" ht="12.75">
      <c r="A347" s="164">
        <v>40444</v>
      </c>
      <c r="B347" s="185">
        <v>307</v>
      </c>
      <c r="C347" s="185">
        <v>35</v>
      </c>
      <c r="D347" s="126" t="s">
        <v>778</v>
      </c>
      <c r="E347" s="171">
        <v>400</v>
      </c>
      <c r="F347" s="171"/>
      <c r="G347" s="171"/>
      <c r="H347" s="149"/>
      <c r="I347" s="149"/>
      <c r="J347" s="240"/>
      <c r="K347" s="171"/>
    </row>
    <row r="348" spans="1:7" s="149" customFormat="1" ht="13.5" customHeight="1">
      <c r="A348" s="164">
        <v>40444</v>
      </c>
      <c r="B348" s="123">
        <v>307</v>
      </c>
      <c r="C348" s="188" t="s">
        <v>41</v>
      </c>
      <c r="D348" s="248" t="s">
        <v>819</v>
      </c>
      <c r="E348" s="170">
        <v>1590</v>
      </c>
      <c r="F348" s="199"/>
      <c r="G348" s="200"/>
    </row>
    <row r="349" spans="1:11" s="126" customFormat="1" ht="12.75">
      <c r="A349" s="184">
        <v>40445</v>
      </c>
      <c r="B349" s="185">
        <v>308</v>
      </c>
      <c r="C349" s="185">
        <v>35</v>
      </c>
      <c r="D349" s="126" t="s">
        <v>763</v>
      </c>
      <c r="E349" s="171">
        <v>1087.5</v>
      </c>
      <c r="F349" s="171"/>
      <c r="G349" s="171"/>
      <c r="H349" s="149"/>
      <c r="I349" s="149"/>
      <c r="J349" s="240"/>
      <c r="K349" s="171"/>
    </row>
    <row r="350" spans="1:11" s="110" customFormat="1" ht="12.75">
      <c r="A350" s="164">
        <v>40445</v>
      </c>
      <c r="B350" s="1">
        <v>309</v>
      </c>
      <c r="C350" s="127">
        <v>44</v>
      </c>
      <c r="D350" s="149" t="s">
        <v>841</v>
      </c>
      <c r="E350" s="170">
        <v>-1175</v>
      </c>
      <c r="F350" s="128"/>
      <c r="G350" s="170"/>
      <c r="H350" s="235"/>
      <c r="I350" s="235"/>
      <c r="K350" s="128"/>
    </row>
    <row r="351" spans="1:10" s="110" customFormat="1" ht="12.75">
      <c r="A351" s="164">
        <v>40445</v>
      </c>
      <c r="B351" s="127">
        <v>310</v>
      </c>
      <c r="C351" s="131" t="s">
        <v>115</v>
      </c>
      <c r="D351" s="149" t="s">
        <v>829</v>
      </c>
      <c r="E351" s="170">
        <v>-4080</v>
      </c>
      <c r="F351" s="190"/>
      <c r="G351" s="168"/>
      <c r="J351" s="129"/>
    </row>
    <row r="352" spans="1:10" s="110" customFormat="1" ht="12.75">
      <c r="A352" s="164">
        <v>40445</v>
      </c>
      <c r="B352" s="127">
        <v>310</v>
      </c>
      <c r="C352" s="131" t="s">
        <v>114</v>
      </c>
      <c r="D352" s="149" t="s">
        <v>830</v>
      </c>
      <c r="E352" s="170">
        <v>-100</v>
      </c>
      <c r="F352" s="190"/>
      <c r="G352" s="168"/>
      <c r="J352" s="129"/>
    </row>
    <row r="353" spans="1:11" s="126" customFormat="1" ht="12.75">
      <c r="A353" s="184">
        <v>40448</v>
      </c>
      <c r="B353" s="185">
        <v>311</v>
      </c>
      <c r="C353" s="185">
        <v>35</v>
      </c>
      <c r="D353" s="126" t="s">
        <v>844</v>
      </c>
      <c r="E353" s="171">
        <v>600</v>
      </c>
      <c r="F353" s="171"/>
      <c r="G353" s="171"/>
      <c r="H353" s="149"/>
      <c r="I353" s="149"/>
      <c r="J353" s="240"/>
      <c r="K353" s="171"/>
    </row>
    <row r="354" spans="1:10" s="110" customFormat="1" ht="12.75">
      <c r="A354" s="164">
        <v>40448</v>
      </c>
      <c r="B354" s="127">
        <v>312</v>
      </c>
      <c r="C354" s="131" t="s">
        <v>114</v>
      </c>
      <c r="D354" s="149" t="s">
        <v>821</v>
      </c>
      <c r="E354" s="170">
        <v>-650.82</v>
      </c>
      <c r="F354" s="190"/>
      <c r="G354" s="168"/>
      <c r="J354" s="129"/>
    </row>
    <row r="355" spans="1:16" ht="12.75">
      <c r="A355" s="164">
        <v>40448</v>
      </c>
      <c r="B355" s="1">
        <v>312</v>
      </c>
      <c r="C355" s="1">
        <v>52</v>
      </c>
      <c r="D355" s="126" t="s">
        <v>845</v>
      </c>
      <c r="E355" s="5">
        <v>-30</v>
      </c>
      <c r="G355" s="5"/>
      <c r="H355" s="235"/>
      <c r="I355" s="235"/>
      <c r="J355" s="129"/>
      <c r="K355" s="128"/>
      <c r="L355" s="110"/>
      <c r="M355" s="169"/>
      <c r="N355" s="169"/>
      <c r="P355" s="2">
        <f>800/12/2</f>
        <v>33.333333333333336</v>
      </c>
    </row>
    <row r="356" spans="1:7" s="149" customFormat="1" ht="13.5" customHeight="1">
      <c r="A356" s="184">
        <v>40450</v>
      </c>
      <c r="B356" s="123">
        <v>313</v>
      </c>
      <c r="C356" s="241" t="s">
        <v>843</v>
      </c>
      <c r="D356" s="149" t="s">
        <v>864</v>
      </c>
      <c r="E356" s="170">
        <v>-570</v>
      </c>
      <c r="F356" s="199"/>
      <c r="G356" s="200"/>
    </row>
    <row r="357" spans="1:11" s="126" customFormat="1" ht="12.75">
      <c r="A357" s="184">
        <v>40450</v>
      </c>
      <c r="B357" s="185">
        <v>314</v>
      </c>
      <c r="C357" s="185">
        <v>35</v>
      </c>
      <c r="D357" s="126" t="s">
        <v>784</v>
      </c>
      <c r="E357" s="171">
        <v>400</v>
      </c>
      <c r="F357" s="171"/>
      <c r="G357" s="171"/>
      <c r="H357" s="149"/>
      <c r="I357" s="149"/>
      <c r="J357" s="240"/>
      <c r="K357" s="171"/>
    </row>
    <row r="358" spans="1:11" s="126" customFormat="1" ht="12.75">
      <c r="A358" s="184">
        <v>40450</v>
      </c>
      <c r="B358" s="185">
        <v>315</v>
      </c>
      <c r="C358" s="185">
        <v>35</v>
      </c>
      <c r="D358" s="126" t="s">
        <v>772</v>
      </c>
      <c r="E358" s="171">
        <v>200</v>
      </c>
      <c r="F358" s="171"/>
      <c r="G358" s="171"/>
      <c r="H358" s="149"/>
      <c r="I358" s="149"/>
      <c r="J358" s="240"/>
      <c r="K358" s="171"/>
    </row>
    <row r="359" spans="1:9" s="126" customFormat="1" ht="12.75">
      <c r="A359" s="184">
        <v>40451</v>
      </c>
      <c r="B359" s="185">
        <v>316</v>
      </c>
      <c r="C359" s="247">
        <v>52</v>
      </c>
      <c r="D359" s="216" t="s">
        <v>865</v>
      </c>
      <c r="E359" s="171">
        <v>-30</v>
      </c>
      <c r="F359" s="254"/>
      <c r="G359" s="255"/>
      <c r="H359" s="149"/>
      <c r="I359" s="149"/>
    </row>
    <row r="360" spans="1:7" s="149" customFormat="1" ht="13.5" customHeight="1">
      <c r="A360" s="184">
        <v>40452</v>
      </c>
      <c r="B360" s="123">
        <v>317</v>
      </c>
      <c r="C360" s="241" t="s">
        <v>34</v>
      </c>
      <c r="D360" s="149" t="s">
        <v>332</v>
      </c>
      <c r="E360" s="170">
        <v>2700</v>
      </c>
      <c r="F360" s="199"/>
      <c r="G360" s="200"/>
    </row>
    <row r="361" spans="1:9" s="126" customFormat="1" ht="12.75">
      <c r="A361" s="184">
        <v>40452</v>
      </c>
      <c r="B361" s="185">
        <v>318</v>
      </c>
      <c r="C361" s="247">
        <v>52</v>
      </c>
      <c r="D361" s="216" t="s">
        <v>866</v>
      </c>
      <c r="E361" s="171">
        <v>-464</v>
      </c>
      <c r="F361" s="254"/>
      <c r="G361" s="255"/>
      <c r="H361" s="149"/>
      <c r="I361" s="149"/>
    </row>
    <row r="362" spans="1:11" s="126" customFormat="1" ht="12.75">
      <c r="A362" s="184">
        <v>40455</v>
      </c>
      <c r="B362" s="185">
        <v>319</v>
      </c>
      <c r="C362" s="185">
        <v>35</v>
      </c>
      <c r="D362" s="126" t="s">
        <v>771</v>
      </c>
      <c r="E362" s="171">
        <v>600</v>
      </c>
      <c r="F362" s="171"/>
      <c r="G362" s="171"/>
      <c r="H362" s="149"/>
      <c r="I362" s="149"/>
      <c r="J362" s="240"/>
      <c r="K362" s="171"/>
    </row>
    <row r="363" spans="1:10" s="110" customFormat="1" ht="12.75">
      <c r="A363" s="164">
        <v>40455</v>
      </c>
      <c r="B363" s="127">
        <v>320</v>
      </c>
      <c r="C363" s="131" t="s">
        <v>114</v>
      </c>
      <c r="D363" s="149" t="s">
        <v>867</v>
      </c>
      <c r="E363" s="170">
        <v>-60</v>
      </c>
      <c r="F363" s="190"/>
      <c r="G363" s="168"/>
      <c r="J363" s="129"/>
    </row>
    <row r="364" spans="1:10" s="110" customFormat="1" ht="12.75">
      <c r="A364" s="164">
        <v>40455</v>
      </c>
      <c r="B364" s="127">
        <v>321</v>
      </c>
      <c r="C364" s="131" t="s">
        <v>114</v>
      </c>
      <c r="D364" s="149" t="s">
        <v>846</v>
      </c>
      <c r="E364" s="170">
        <v>-1890</v>
      </c>
      <c r="F364" s="190"/>
      <c r="G364" s="168"/>
      <c r="J364" s="129"/>
    </row>
    <row r="365" spans="1:10" s="110" customFormat="1" ht="12.75">
      <c r="A365" s="164">
        <v>40455</v>
      </c>
      <c r="B365" s="127">
        <v>322</v>
      </c>
      <c r="C365" s="131" t="s">
        <v>114</v>
      </c>
      <c r="D365" s="149" t="s">
        <v>847</v>
      </c>
      <c r="E365" s="170">
        <v>-1350</v>
      </c>
      <c r="F365" s="190"/>
      <c r="G365" s="168"/>
      <c r="J365" s="129"/>
    </row>
    <row r="366" spans="1:10" s="110" customFormat="1" ht="12.75">
      <c r="A366" s="164">
        <v>40455</v>
      </c>
      <c r="B366" s="127">
        <v>323</v>
      </c>
      <c r="C366" s="131" t="s">
        <v>114</v>
      </c>
      <c r="D366" s="149" t="s">
        <v>834</v>
      </c>
      <c r="E366" s="170">
        <v>-8820</v>
      </c>
      <c r="F366" s="190"/>
      <c r="G366" s="168"/>
      <c r="J366" s="129"/>
    </row>
    <row r="367" spans="1:10" s="110" customFormat="1" ht="12.75">
      <c r="A367" s="164">
        <v>40455</v>
      </c>
      <c r="B367" s="127">
        <v>324</v>
      </c>
      <c r="C367" s="131" t="s">
        <v>114</v>
      </c>
      <c r="D367" s="149" t="s">
        <v>825</v>
      </c>
      <c r="E367" s="170">
        <v>-3240</v>
      </c>
      <c r="F367" s="190"/>
      <c r="G367" s="168"/>
      <c r="J367" s="129"/>
    </row>
    <row r="368" spans="1:11" s="110" customFormat="1" ht="12.75">
      <c r="A368" s="164">
        <v>40456</v>
      </c>
      <c r="B368" s="1">
        <v>325</v>
      </c>
      <c r="C368" s="127">
        <v>44</v>
      </c>
      <c r="D368" s="149" t="s">
        <v>840</v>
      </c>
      <c r="E368" s="170">
        <v>-1000</v>
      </c>
      <c r="F368" s="128"/>
      <c r="G368" s="170"/>
      <c r="H368" s="243"/>
      <c r="K368" s="128"/>
    </row>
    <row r="369" spans="1:10" s="110" customFormat="1" ht="12.75">
      <c r="A369" s="164">
        <v>40457</v>
      </c>
      <c r="B369" s="127">
        <v>326</v>
      </c>
      <c r="C369" s="131">
        <v>44</v>
      </c>
      <c r="D369" s="149" t="s">
        <v>850</v>
      </c>
      <c r="E369" s="170">
        <v>-5085</v>
      </c>
      <c r="F369" s="190"/>
      <c r="G369" s="168"/>
      <c r="J369" s="129"/>
    </row>
    <row r="370" spans="1:10" s="110" customFormat="1" ht="12.75">
      <c r="A370" s="164">
        <v>40457</v>
      </c>
      <c r="B370" s="127">
        <v>326</v>
      </c>
      <c r="C370" s="188">
        <v>44</v>
      </c>
      <c r="D370" s="149" t="s">
        <v>853</v>
      </c>
      <c r="E370" s="170">
        <v>-5250</v>
      </c>
      <c r="F370" s="190"/>
      <c r="G370" s="168"/>
      <c r="J370" s="129"/>
    </row>
    <row r="371" spans="1:10" s="110" customFormat="1" ht="12.75">
      <c r="A371" s="164">
        <v>40457</v>
      </c>
      <c r="B371" s="127">
        <v>326</v>
      </c>
      <c r="C371" s="131" t="s">
        <v>114</v>
      </c>
      <c r="D371" s="149" t="s">
        <v>854</v>
      </c>
      <c r="E371" s="170">
        <v>-630</v>
      </c>
      <c r="F371" s="190"/>
      <c r="G371" s="168"/>
      <c r="J371" s="129"/>
    </row>
    <row r="372" spans="1:10" s="110" customFormat="1" ht="12.75">
      <c r="A372" s="164">
        <v>40457</v>
      </c>
      <c r="B372" s="127">
        <v>326</v>
      </c>
      <c r="C372" s="131" t="s">
        <v>114</v>
      </c>
      <c r="D372" s="149" t="s">
        <v>856</v>
      </c>
      <c r="E372" s="170">
        <v>-100</v>
      </c>
      <c r="F372" s="190"/>
      <c r="G372" s="168"/>
      <c r="J372" s="129"/>
    </row>
    <row r="373" spans="1:11" s="110" customFormat="1" ht="12.75">
      <c r="A373" s="164">
        <v>40457</v>
      </c>
      <c r="B373" s="127">
        <v>326</v>
      </c>
      <c r="C373" s="127">
        <v>44</v>
      </c>
      <c r="D373" s="149" t="s">
        <v>855</v>
      </c>
      <c r="E373" s="170">
        <v>-2800</v>
      </c>
      <c r="F373" s="128"/>
      <c r="G373" s="170"/>
      <c r="H373" s="235"/>
      <c r="I373" s="235"/>
      <c r="K373" s="128"/>
    </row>
    <row r="374" spans="1:11" s="110" customFormat="1" ht="12.75">
      <c r="A374" s="164">
        <v>40457</v>
      </c>
      <c r="B374" s="127">
        <v>326</v>
      </c>
      <c r="C374" s="127">
        <v>44</v>
      </c>
      <c r="D374" s="149" t="s">
        <v>852</v>
      </c>
      <c r="E374" s="170">
        <v>-1800</v>
      </c>
      <c r="F374" s="128"/>
      <c r="G374" s="170"/>
      <c r="H374" s="235"/>
      <c r="I374" s="235"/>
      <c r="K374" s="128"/>
    </row>
    <row r="375" spans="1:10" s="110" customFormat="1" ht="12.75">
      <c r="A375" s="164">
        <v>40457</v>
      </c>
      <c r="B375" s="127">
        <v>327</v>
      </c>
      <c r="C375" s="131">
        <v>44</v>
      </c>
      <c r="D375" s="149" t="s">
        <v>850</v>
      </c>
      <c r="E375" s="170">
        <v>-510</v>
      </c>
      <c r="F375" s="190"/>
      <c r="G375" s="168"/>
      <c r="J375" s="129"/>
    </row>
    <row r="376" spans="1:11" s="110" customFormat="1" ht="12.75">
      <c r="A376" s="164">
        <v>40457</v>
      </c>
      <c r="B376" s="127">
        <v>327</v>
      </c>
      <c r="C376" s="127">
        <v>44</v>
      </c>
      <c r="D376" s="149" t="s">
        <v>851</v>
      </c>
      <c r="E376" s="170">
        <v>-100</v>
      </c>
      <c r="F376" s="128"/>
      <c r="G376" s="170"/>
      <c r="H376" s="235"/>
      <c r="I376" s="235"/>
      <c r="K376" s="128"/>
    </row>
    <row r="377" spans="1:10" s="110" customFormat="1" ht="12.75">
      <c r="A377" s="164">
        <v>40457</v>
      </c>
      <c r="B377" s="127">
        <v>328</v>
      </c>
      <c r="C377" s="131" t="s">
        <v>114</v>
      </c>
      <c r="D377" s="149" t="s">
        <v>870</v>
      </c>
      <c r="E377" s="170">
        <v>-10025</v>
      </c>
      <c r="F377" s="190"/>
      <c r="G377" s="168"/>
      <c r="J377" s="129"/>
    </row>
    <row r="378" spans="1:10" s="110" customFormat="1" ht="12.75">
      <c r="A378" s="164">
        <v>40457</v>
      </c>
      <c r="B378" s="127">
        <v>328</v>
      </c>
      <c r="C378" s="131">
        <v>52</v>
      </c>
      <c r="D378" s="149" t="s">
        <v>886</v>
      </c>
      <c r="E378" s="170">
        <v>-85</v>
      </c>
      <c r="F378" s="190"/>
      <c r="G378" s="168"/>
      <c r="J378" s="129"/>
    </row>
    <row r="379" spans="1:10" s="110" customFormat="1" ht="12.75">
      <c r="A379" s="164">
        <v>40458</v>
      </c>
      <c r="B379" s="127">
        <v>329</v>
      </c>
      <c r="C379" s="131" t="s">
        <v>183</v>
      </c>
      <c r="D379" s="149" t="s">
        <v>577</v>
      </c>
      <c r="E379" s="170">
        <v>1500</v>
      </c>
      <c r="F379" s="190"/>
      <c r="G379" s="168"/>
      <c r="H379" s="149"/>
      <c r="I379" s="149"/>
      <c r="J379" s="129"/>
    </row>
    <row r="380" spans="1:10" s="110" customFormat="1" ht="12.75">
      <c r="A380" s="164">
        <v>40459</v>
      </c>
      <c r="B380" s="127">
        <v>330</v>
      </c>
      <c r="C380" s="131" t="s">
        <v>114</v>
      </c>
      <c r="D380" s="149" t="s">
        <v>1042</v>
      </c>
      <c r="E380" s="170">
        <v>-1220</v>
      </c>
      <c r="F380" s="190"/>
      <c r="G380" s="168"/>
      <c r="J380" s="129"/>
    </row>
    <row r="381" spans="1:7" s="149" customFormat="1" ht="13.5" customHeight="1">
      <c r="A381" s="184">
        <v>40465</v>
      </c>
      <c r="B381" s="123">
        <v>331</v>
      </c>
      <c r="C381" s="188" t="s">
        <v>41</v>
      </c>
      <c r="D381" s="248" t="s">
        <v>891</v>
      </c>
      <c r="E381" s="170">
        <v>500</v>
      </c>
      <c r="F381" s="199"/>
      <c r="G381" s="200"/>
    </row>
    <row r="382" spans="1:7" s="149" customFormat="1" ht="13.5" customHeight="1">
      <c r="A382" s="184">
        <v>40465</v>
      </c>
      <c r="B382" s="123">
        <v>332</v>
      </c>
      <c r="C382" s="188" t="s">
        <v>14</v>
      </c>
      <c r="D382" s="248" t="s">
        <v>893</v>
      </c>
      <c r="E382" s="170">
        <v>2760</v>
      </c>
      <c r="F382" s="199"/>
      <c r="G382" s="200"/>
    </row>
    <row r="383" spans="1:11" s="110" customFormat="1" ht="12.75">
      <c r="A383" s="164">
        <v>40465</v>
      </c>
      <c r="B383" s="1">
        <v>333</v>
      </c>
      <c r="C383" s="127">
        <v>44</v>
      </c>
      <c r="D383" s="149" t="s">
        <v>890</v>
      </c>
      <c r="E383" s="170">
        <v>-920</v>
      </c>
      <c r="F383" s="128"/>
      <c r="G383" s="170"/>
      <c r="H383" s="235"/>
      <c r="I383" s="235"/>
      <c r="K383" s="128"/>
    </row>
    <row r="384" spans="1:10" s="149" customFormat="1" ht="12.75">
      <c r="A384" s="184">
        <v>40465</v>
      </c>
      <c r="B384" s="123">
        <v>334</v>
      </c>
      <c r="C384" s="188" t="s">
        <v>183</v>
      </c>
      <c r="D384" s="149" t="s">
        <v>580</v>
      </c>
      <c r="E384" s="170">
        <v>600</v>
      </c>
      <c r="F384" s="199"/>
      <c r="G384" s="200"/>
      <c r="J384" s="201"/>
    </row>
    <row r="385" spans="1:10" s="110" customFormat="1" ht="12.75">
      <c r="A385" s="164">
        <v>40466</v>
      </c>
      <c r="B385" s="127">
        <v>335</v>
      </c>
      <c r="C385" s="131" t="s">
        <v>114</v>
      </c>
      <c r="D385" s="149" t="s">
        <v>894</v>
      </c>
      <c r="E385" s="170">
        <f>-4610+1200</f>
        <v>-3410</v>
      </c>
      <c r="F385" s="190"/>
      <c r="G385" s="168"/>
      <c r="J385" s="129"/>
    </row>
    <row r="386" spans="1:10" s="110" customFormat="1" ht="12.75">
      <c r="A386" s="164">
        <v>40466</v>
      </c>
      <c r="B386" s="127">
        <v>335</v>
      </c>
      <c r="C386" s="188" t="s">
        <v>115</v>
      </c>
      <c r="D386" s="149" t="s">
        <v>898</v>
      </c>
      <c r="E386" s="170">
        <f>-6300-1200</f>
        <v>-7500</v>
      </c>
      <c r="F386" s="190"/>
      <c r="G386" s="168"/>
      <c r="J386" s="129"/>
    </row>
    <row r="387" spans="1:7" s="149" customFormat="1" ht="13.5" customHeight="1">
      <c r="A387" s="184">
        <v>40469</v>
      </c>
      <c r="B387" s="123">
        <v>336</v>
      </c>
      <c r="C387" s="188" t="s">
        <v>14</v>
      </c>
      <c r="D387" s="248" t="s">
        <v>892</v>
      </c>
      <c r="E387" s="170">
        <v>1865</v>
      </c>
      <c r="F387" s="199"/>
      <c r="G387" s="200"/>
    </row>
    <row r="388" spans="1:10" s="110" customFormat="1" ht="12.75">
      <c r="A388" s="164">
        <v>40469</v>
      </c>
      <c r="B388" s="127">
        <v>337</v>
      </c>
      <c r="C388" s="131">
        <v>44</v>
      </c>
      <c r="D388" s="149" t="s">
        <v>899</v>
      </c>
      <c r="E388" s="170">
        <v>-7950</v>
      </c>
      <c r="F388" s="190"/>
      <c r="G388" s="168"/>
      <c r="J388" s="129"/>
    </row>
    <row r="389" spans="1:10" s="110" customFormat="1" ht="12.75">
      <c r="A389" s="164">
        <v>40469</v>
      </c>
      <c r="B389" s="127">
        <v>337</v>
      </c>
      <c r="C389" s="131">
        <v>44</v>
      </c>
      <c r="D389" s="149" t="s">
        <v>900</v>
      </c>
      <c r="E389" s="170">
        <v>-9200</v>
      </c>
      <c r="F389" s="190"/>
      <c r="G389" s="168"/>
      <c r="J389" s="129"/>
    </row>
    <row r="390" spans="1:11" s="110" customFormat="1" ht="12.75">
      <c r="A390" s="164">
        <v>40469</v>
      </c>
      <c r="B390" s="127">
        <v>337</v>
      </c>
      <c r="C390" s="127">
        <v>44</v>
      </c>
      <c r="D390" s="149" t="s">
        <v>901</v>
      </c>
      <c r="E390" s="170">
        <v>-1700</v>
      </c>
      <c r="F390" s="128"/>
      <c r="G390" s="170"/>
      <c r="H390" s="235"/>
      <c r="I390" s="235"/>
      <c r="K390" s="128"/>
    </row>
    <row r="391" spans="1:10" s="110" customFormat="1" ht="12.75">
      <c r="A391" s="164">
        <v>40469</v>
      </c>
      <c r="B391" s="127">
        <v>337</v>
      </c>
      <c r="C391" s="131">
        <v>44</v>
      </c>
      <c r="D391" s="149" t="s">
        <v>904</v>
      </c>
      <c r="E391" s="170">
        <v>-300</v>
      </c>
      <c r="F391" s="190"/>
      <c r="G391" s="168"/>
      <c r="J391" s="129"/>
    </row>
    <row r="392" spans="1:11" s="110" customFormat="1" ht="12.75">
      <c r="A392" s="164">
        <v>40469</v>
      </c>
      <c r="B392" s="127">
        <v>337</v>
      </c>
      <c r="C392" s="127">
        <v>44</v>
      </c>
      <c r="D392" s="149" t="s">
        <v>905</v>
      </c>
      <c r="E392" s="170">
        <f>-160-40</f>
        <v>-200</v>
      </c>
      <c r="F392" s="128"/>
      <c r="G392" s="170"/>
      <c r="H392" s="235"/>
      <c r="I392" s="235"/>
      <c r="K392" s="128"/>
    </row>
    <row r="393" spans="1:10" s="149" customFormat="1" ht="12.75">
      <c r="A393" s="263">
        <v>40469</v>
      </c>
      <c r="B393" s="264">
        <v>338</v>
      </c>
      <c r="C393" s="265" t="s">
        <v>14</v>
      </c>
      <c r="D393" s="266" t="s">
        <v>903</v>
      </c>
      <c r="E393" s="170">
        <v>1450</v>
      </c>
      <c r="F393" s="199"/>
      <c r="G393" s="200"/>
      <c r="J393" s="201"/>
    </row>
    <row r="394" spans="1:11" ht="12.75">
      <c r="A394" s="74">
        <v>40471</v>
      </c>
      <c r="B394" s="1">
        <v>339</v>
      </c>
      <c r="C394" s="1">
        <v>41</v>
      </c>
      <c r="D394" s="126" t="s">
        <v>917</v>
      </c>
      <c r="E394" s="5">
        <v>-1970</v>
      </c>
      <c r="G394" s="5"/>
      <c r="H394" s="110"/>
      <c r="I394" s="110"/>
      <c r="J394" s="9"/>
      <c r="K394" s="5"/>
    </row>
    <row r="395" spans="1:11" s="110" customFormat="1" ht="12.75">
      <c r="A395" s="164">
        <v>40472</v>
      </c>
      <c r="B395" s="1">
        <v>340</v>
      </c>
      <c r="C395" s="127">
        <v>44</v>
      </c>
      <c r="D395" s="149" t="s">
        <v>907</v>
      </c>
      <c r="E395" s="170">
        <v>-5744.5</v>
      </c>
      <c r="F395" s="128"/>
      <c r="G395" s="170"/>
      <c r="H395" s="235"/>
      <c r="I395" s="235"/>
      <c r="K395" s="128"/>
    </row>
    <row r="396" spans="1:10" s="110" customFormat="1" ht="12.75">
      <c r="A396" s="164">
        <v>40472</v>
      </c>
      <c r="B396" s="127">
        <v>341</v>
      </c>
      <c r="C396" s="188" t="s">
        <v>115</v>
      </c>
      <c r="D396" s="149" t="s">
        <v>906</v>
      </c>
      <c r="E396" s="170">
        <v>-825</v>
      </c>
      <c r="F396" s="190"/>
      <c r="G396" s="168"/>
      <c r="H396" s="243"/>
      <c r="J396" s="129"/>
    </row>
    <row r="397" spans="1:10" s="110" customFormat="1" ht="12.75">
      <c r="A397" s="164">
        <v>40472</v>
      </c>
      <c r="B397" s="127">
        <v>342</v>
      </c>
      <c r="C397" s="188" t="s">
        <v>115</v>
      </c>
      <c r="D397" s="149" t="s">
        <v>908</v>
      </c>
      <c r="E397" s="170">
        <v>-1518.75</v>
      </c>
      <c r="F397" s="190"/>
      <c r="G397" s="168"/>
      <c r="H397" s="243"/>
      <c r="J397" s="129"/>
    </row>
    <row r="398" spans="1:11" s="110" customFormat="1" ht="12.75">
      <c r="A398" s="164">
        <v>40472</v>
      </c>
      <c r="B398" s="1">
        <v>343</v>
      </c>
      <c r="C398" s="127">
        <v>44</v>
      </c>
      <c r="D398" s="149" t="s">
        <v>909</v>
      </c>
      <c r="E398" s="170">
        <v>-860</v>
      </c>
      <c r="F398" s="128"/>
      <c r="G398" s="170"/>
      <c r="H398" s="235"/>
      <c r="I398" s="235"/>
      <c r="K398" s="128"/>
    </row>
    <row r="399" spans="1:11" s="126" customFormat="1" ht="12.75">
      <c r="A399" s="184">
        <v>40476</v>
      </c>
      <c r="B399" s="185">
        <v>344</v>
      </c>
      <c r="C399" s="185">
        <v>35</v>
      </c>
      <c r="D399" s="126" t="s">
        <v>937</v>
      </c>
      <c r="E399" s="171">
        <v>400</v>
      </c>
      <c r="F399" s="171"/>
      <c r="G399" s="171"/>
      <c r="H399" s="149"/>
      <c r="I399" s="149"/>
      <c r="J399" s="240"/>
      <c r="K399" s="171"/>
    </row>
    <row r="400" spans="1:10" s="110" customFormat="1" ht="12.75">
      <c r="A400" s="164">
        <v>40476</v>
      </c>
      <c r="B400" s="127">
        <v>345</v>
      </c>
      <c r="C400" s="188" t="s">
        <v>115</v>
      </c>
      <c r="D400" s="149" t="s">
        <v>939</v>
      </c>
      <c r="E400" s="170">
        <v>-1014.88</v>
      </c>
      <c r="F400" s="190"/>
      <c r="G400" s="168"/>
      <c r="H400" s="243"/>
      <c r="J400" s="129"/>
    </row>
    <row r="401" spans="1:14" ht="12.75">
      <c r="A401" s="164">
        <v>40476</v>
      </c>
      <c r="B401" s="1">
        <v>345</v>
      </c>
      <c r="C401" s="1">
        <v>52</v>
      </c>
      <c r="D401" s="126" t="s">
        <v>938</v>
      </c>
      <c r="E401" s="5">
        <v>-30</v>
      </c>
      <c r="G401" s="5"/>
      <c r="H401" s="235"/>
      <c r="I401" s="235"/>
      <c r="J401" s="129"/>
      <c r="K401" s="128"/>
      <c r="L401" s="110"/>
      <c r="M401" s="169"/>
      <c r="N401" s="169"/>
    </row>
    <row r="402" spans="1:10" s="110" customFormat="1" ht="12.75">
      <c r="A402" s="164">
        <v>40476</v>
      </c>
      <c r="B402" s="127">
        <v>346</v>
      </c>
      <c r="C402" s="131" t="s">
        <v>114</v>
      </c>
      <c r="D402" s="149" t="s">
        <v>923</v>
      </c>
      <c r="E402" s="170">
        <v>-810</v>
      </c>
      <c r="F402" s="190"/>
      <c r="G402" s="168"/>
      <c r="J402" s="129"/>
    </row>
    <row r="403" spans="1:9" s="110" customFormat="1" ht="13.5" customHeight="1">
      <c r="A403" s="164">
        <v>40476</v>
      </c>
      <c r="B403" s="127">
        <v>347</v>
      </c>
      <c r="C403" s="131">
        <v>45</v>
      </c>
      <c r="D403" s="149" t="s">
        <v>911</v>
      </c>
      <c r="E403" s="170">
        <v>-2600</v>
      </c>
      <c r="F403" s="190"/>
      <c r="G403" s="168"/>
      <c r="H403" s="235"/>
      <c r="I403" s="235"/>
    </row>
    <row r="404" spans="1:9" s="110" customFormat="1" ht="13.5" customHeight="1">
      <c r="A404" s="164">
        <v>40476</v>
      </c>
      <c r="B404" s="127">
        <v>347</v>
      </c>
      <c r="C404" s="131">
        <v>45</v>
      </c>
      <c r="D404" s="149" t="s">
        <v>912</v>
      </c>
      <c r="E404" s="170">
        <v>-1250</v>
      </c>
      <c r="F404" s="190"/>
      <c r="G404" s="168"/>
      <c r="H404" s="235"/>
      <c r="I404" s="235"/>
    </row>
    <row r="405" spans="1:9" s="110" customFormat="1" ht="13.5" customHeight="1">
      <c r="A405" s="164">
        <v>40476</v>
      </c>
      <c r="B405" s="127">
        <v>347</v>
      </c>
      <c r="C405" s="131">
        <v>45</v>
      </c>
      <c r="D405" s="149" t="s">
        <v>913</v>
      </c>
      <c r="E405" s="170">
        <v>-3550</v>
      </c>
      <c r="F405" s="190"/>
      <c r="G405" s="168"/>
      <c r="H405" s="235"/>
      <c r="I405" s="235"/>
    </row>
    <row r="406" spans="1:11" s="126" customFormat="1" ht="15.75">
      <c r="A406" s="184">
        <v>40477</v>
      </c>
      <c r="B406" s="185">
        <v>348</v>
      </c>
      <c r="C406" s="185">
        <v>35</v>
      </c>
      <c r="D406" s="126" t="s">
        <v>774</v>
      </c>
      <c r="E406" s="171">
        <v>400</v>
      </c>
      <c r="F406" s="171"/>
      <c r="G406" s="171"/>
      <c r="H406" s="271"/>
      <c r="I406" s="149"/>
      <c r="J406" s="240"/>
      <c r="K406" s="171"/>
    </row>
    <row r="407" spans="1:9" s="110" customFormat="1" ht="12.75">
      <c r="A407" s="164">
        <v>40477</v>
      </c>
      <c r="B407" s="127">
        <v>349</v>
      </c>
      <c r="C407" s="131">
        <v>64</v>
      </c>
      <c r="D407" s="149" t="s">
        <v>914</v>
      </c>
      <c r="E407" s="170">
        <v>-18062.5</v>
      </c>
      <c r="F407" s="190"/>
      <c r="G407" s="169"/>
      <c r="H407" s="235"/>
      <c r="I407" s="235"/>
    </row>
    <row r="408" spans="1:10" s="110" customFormat="1" ht="12.75">
      <c r="A408" s="164">
        <v>40477</v>
      </c>
      <c r="B408" s="127">
        <v>350</v>
      </c>
      <c r="C408" s="131" t="s">
        <v>114</v>
      </c>
      <c r="D408" s="149" t="s">
        <v>922</v>
      </c>
      <c r="E408" s="170">
        <v>-1330</v>
      </c>
      <c r="F408" s="190"/>
      <c r="G408" s="168"/>
      <c r="J408" s="129"/>
    </row>
    <row r="409" spans="1:10" s="110" customFormat="1" ht="12.75">
      <c r="A409" s="164">
        <v>40477</v>
      </c>
      <c r="B409" s="127">
        <v>351</v>
      </c>
      <c r="C409" s="131" t="s">
        <v>114</v>
      </c>
      <c r="D409" s="149" t="s">
        <v>924</v>
      </c>
      <c r="E409" s="170">
        <v>-855</v>
      </c>
      <c r="F409" s="190"/>
      <c r="G409" s="168"/>
      <c r="J409" s="129"/>
    </row>
    <row r="410" spans="1:9" s="110" customFormat="1" ht="12.75">
      <c r="A410" s="164">
        <v>40478</v>
      </c>
      <c r="B410" s="127">
        <v>352</v>
      </c>
      <c r="C410" s="131">
        <v>64</v>
      </c>
      <c r="D410" s="149" t="s">
        <v>910</v>
      </c>
      <c r="E410" s="170">
        <v>-6170</v>
      </c>
      <c r="F410" s="190"/>
      <c r="G410" s="169"/>
      <c r="H410" s="235"/>
      <c r="I410" s="235"/>
    </row>
    <row r="411" spans="1:11" s="126" customFormat="1" ht="12.75">
      <c r="A411" s="184">
        <v>40478</v>
      </c>
      <c r="B411" s="185">
        <v>353</v>
      </c>
      <c r="C411" s="185">
        <v>35</v>
      </c>
      <c r="D411" s="126" t="s">
        <v>940</v>
      </c>
      <c r="E411" s="171">
        <v>1200</v>
      </c>
      <c r="F411" s="171"/>
      <c r="G411" s="171"/>
      <c r="H411" s="149"/>
      <c r="I411" s="149"/>
      <c r="J411" s="240"/>
      <c r="K411" s="171"/>
    </row>
    <row r="412" spans="1:10" s="149" customFormat="1" ht="12.75">
      <c r="A412" s="184">
        <v>40480</v>
      </c>
      <c r="B412" s="264">
        <v>354</v>
      </c>
      <c r="C412" s="265" t="s">
        <v>14</v>
      </c>
      <c r="D412" s="266" t="s">
        <v>915</v>
      </c>
      <c r="E412" s="170">
        <v>250</v>
      </c>
      <c r="F412" s="199"/>
      <c r="G412" s="200"/>
      <c r="J412" s="201"/>
    </row>
    <row r="413" spans="1:11" s="126" customFormat="1" ht="12.75">
      <c r="A413" s="184">
        <v>40480</v>
      </c>
      <c r="B413" s="185">
        <v>355</v>
      </c>
      <c r="C413" s="185">
        <v>35</v>
      </c>
      <c r="D413" s="126" t="s">
        <v>942</v>
      </c>
      <c r="E413" s="171">
        <v>3200</v>
      </c>
      <c r="F413" s="171"/>
      <c r="G413" s="171"/>
      <c r="H413" s="149"/>
      <c r="I413" s="149"/>
      <c r="J413" s="240"/>
      <c r="K413" s="171"/>
    </row>
    <row r="414" spans="1:7" s="149" customFormat="1" ht="13.5" customHeight="1">
      <c r="A414" s="184">
        <v>40480</v>
      </c>
      <c r="B414" s="123">
        <v>356</v>
      </c>
      <c r="C414" s="188" t="s">
        <v>41</v>
      </c>
      <c r="D414" s="248" t="s">
        <v>943</v>
      </c>
      <c r="E414" s="170">
        <v>9750.63</v>
      </c>
      <c r="F414" s="199"/>
      <c r="G414" s="200"/>
    </row>
    <row r="415" spans="1:11" s="110" customFormat="1" ht="12.75">
      <c r="A415" s="164">
        <v>40480</v>
      </c>
      <c r="B415" s="1">
        <v>357</v>
      </c>
      <c r="C415" s="127">
        <v>44</v>
      </c>
      <c r="D415" s="149" t="s">
        <v>945</v>
      </c>
      <c r="E415" s="170">
        <v>-1130</v>
      </c>
      <c r="F415" s="128"/>
      <c r="G415" s="170"/>
      <c r="H415" s="235"/>
      <c r="I415" s="235"/>
      <c r="K415" s="128"/>
    </row>
    <row r="416" spans="1:11" ht="12.75">
      <c r="A416" s="164">
        <v>40480</v>
      </c>
      <c r="B416" s="1">
        <v>358</v>
      </c>
      <c r="C416" s="1">
        <v>41</v>
      </c>
      <c r="D416" s="126" t="s">
        <v>946</v>
      </c>
      <c r="E416" s="5">
        <v>-241</v>
      </c>
      <c r="G416" s="5"/>
      <c r="H416" s="110"/>
      <c r="I416" s="110"/>
      <c r="J416" s="9"/>
      <c r="K416" s="5"/>
    </row>
    <row r="417" spans="1:9" s="126" customFormat="1" ht="12.75">
      <c r="A417" s="184">
        <v>40207</v>
      </c>
      <c r="B417" s="185">
        <v>359</v>
      </c>
      <c r="C417" s="247">
        <v>52</v>
      </c>
      <c r="D417" s="216" t="s">
        <v>947</v>
      </c>
      <c r="E417" s="171">
        <v>-52</v>
      </c>
      <c r="F417" s="254"/>
      <c r="G417" s="255"/>
      <c r="H417" s="149"/>
      <c r="I417" s="149"/>
    </row>
    <row r="418" spans="1:11" s="126" customFormat="1" ht="12.75">
      <c r="A418" s="164">
        <v>40484</v>
      </c>
      <c r="B418" s="185">
        <v>360</v>
      </c>
      <c r="C418" s="185">
        <v>35</v>
      </c>
      <c r="D418" s="126" t="s">
        <v>936</v>
      </c>
      <c r="E418" s="171">
        <v>400</v>
      </c>
      <c r="F418" s="171"/>
      <c r="G418" s="171"/>
      <c r="H418" s="149"/>
      <c r="I418" s="149"/>
      <c r="J418" s="240"/>
      <c r="K418" s="171"/>
    </row>
    <row r="419" spans="1:10" s="110" customFormat="1" ht="12.75">
      <c r="A419" s="164">
        <v>40485</v>
      </c>
      <c r="B419" s="127">
        <v>361</v>
      </c>
      <c r="C419" s="131" t="s">
        <v>114</v>
      </c>
      <c r="D419" s="149" t="s">
        <v>919</v>
      </c>
      <c r="E419" s="170">
        <v>-400</v>
      </c>
      <c r="F419" s="190"/>
      <c r="G419" s="168"/>
      <c r="J419" s="129"/>
    </row>
    <row r="420" spans="1:7" s="149" customFormat="1" ht="13.5" customHeight="1">
      <c r="A420" s="184">
        <v>40490</v>
      </c>
      <c r="B420" s="123">
        <v>362</v>
      </c>
      <c r="C420" s="241" t="s">
        <v>187</v>
      </c>
      <c r="D420" s="149" t="s">
        <v>957</v>
      </c>
      <c r="E420" s="170">
        <v>2240</v>
      </c>
      <c r="F420" s="199"/>
      <c r="G420" s="200"/>
    </row>
    <row r="421" spans="1:10" s="110" customFormat="1" ht="12.75">
      <c r="A421" s="164">
        <v>40490</v>
      </c>
      <c r="B421" s="127">
        <v>363</v>
      </c>
      <c r="C421" s="131" t="s">
        <v>114</v>
      </c>
      <c r="D421" s="149" t="s">
        <v>955</v>
      </c>
      <c r="E421" s="170">
        <v>-11220</v>
      </c>
      <c r="F421" s="190"/>
      <c r="G421" s="168"/>
      <c r="J421" s="129"/>
    </row>
    <row r="422" spans="1:10" s="110" customFormat="1" ht="12.75">
      <c r="A422" s="164">
        <v>40491</v>
      </c>
      <c r="B422" s="127">
        <v>364</v>
      </c>
      <c r="C422" s="131" t="s">
        <v>114</v>
      </c>
      <c r="D422" s="149" t="s">
        <v>918</v>
      </c>
      <c r="E422" s="170">
        <v>-200</v>
      </c>
      <c r="F422" s="190"/>
      <c r="G422" s="168"/>
      <c r="J422" s="129"/>
    </row>
    <row r="423" spans="1:10" s="110" customFormat="1" ht="12.75">
      <c r="A423" s="164">
        <v>40492</v>
      </c>
      <c r="B423" s="127">
        <v>365</v>
      </c>
      <c r="C423" s="131" t="s">
        <v>114</v>
      </c>
      <c r="D423" s="149" t="s">
        <v>958</v>
      </c>
      <c r="E423" s="170">
        <v>-110</v>
      </c>
      <c r="F423" s="190"/>
      <c r="G423" s="168"/>
      <c r="J423" s="129"/>
    </row>
    <row r="424" spans="1:7" s="149" customFormat="1" ht="13.5" customHeight="1">
      <c r="A424" s="184">
        <v>40492</v>
      </c>
      <c r="B424" s="123">
        <v>366</v>
      </c>
      <c r="C424" s="188" t="s">
        <v>41</v>
      </c>
      <c r="D424" s="248" t="s">
        <v>961</v>
      </c>
      <c r="E424" s="170">
        <v>1300</v>
      </c>
      <c r="F424" s="199"/>
      <c r="G424" s="200"/>
    </row>
    <row r="425" spans="1:11" s="126" customFormat="1" ht="12.75">
      <c r="A425" s="184">
        <v>40492</v>
      </c>
      <c r="B425" s="185">
        <v>367</v>
      </c>
      <c r="C425" s="185">
        <v>35</v>
      </c>
      <c r="D425" s="126" t="s">
        <v>969</v>
      </c>
      <c r="E425" s="171">
        <v>1982.5</v>
      </c>
      <c r="F425" s="171"/>
      <c r="G425" s="171"/>
      <c r="H425" s="149"/>
      <c r="I425" s="149"/>
      <c r="J425" s="240"/>
      <c r="K425" s="171"/>
    </row>
    <row r="426" spans="1:9" s="110" customFormat="1" ht="13.5" customHeight="1">
      <c r="A426" s="164">
        <v>40494</v>
      </c>
      <c r="B426" s="127">
        <v>368</v>
      </c>
      <c r="C426" s="131">
        <v>45</v>
      </c>
      <c r="D426" s="149" t="s">
        <v>948</v>
      </c>
      <c r="E426" s="170">
        <v>-2000</v>
      </c>
      <c r="F426" s="190"/>
      <c r="G426" s="168"/>
      <c r="H426" s="235"/>
      <c r="I426" s="235"/>
    </row>
    <row r="427" spans="1:11" s="126" customFormat="1" ht="12.75">
      <c r="A427" s="184">
        <v>40497</v>
      </c>
      <c r="B427" s="185">
        <v>369</v>
      </c>
      <c r="C427" s="185">
        <v>35</v>
      </c>
      <c r="D427" s="126" t="s">
        <v>970</v>
      </c>
      <c r="E427" s="171">
        <v>2387.5</v>
      </c>
      <c r="F427" s="171"/>
      <c r="G427" s="171"/>
      <c r="J427" s="240"/>
      <c r="K427" s="171"/>
    </row>
    <row r="428" spans="1:9" s="149" customFormat="1" ht="13.5" customHeight="1">
      <c r="A428" s="184">
        <v>40497</v>
      </c>
      <c r="B428" s="123">
        <v>370</v>
      </c>
      <c r="C428" s="188" t="s">
        <v>41</v>
      </c>
      <c r="D428" s="248" t="s">
        <v>962</v>
      </c>
      <c r="E428" s="170">
        <v>8100</v>
      </c>
      <c r="F428" s="199"/>
      <c r="G428" s="200"/>
      <c r="H428" s="126"/>
      <c r="I428" s="126"/>
    </row>
    <row r="429" spans="1:10" s="110" customFormat="1" ht="12.75">
      <c r="A429" s="164">
        <v>40497</v>
      </c>
      <c r="B429" s="127">
        <v>371</v>
      </c>
      <c r="C429" s="131" t="s">
        <v>114</v>
      </c>
      <c r="D429" s="149" t="s">
        <v>954</v>
      </c>
      <c r="E429" s="170">
        <v>-970</v>
      </c>
      <c r="F429" s="190"/>
      <c r="G429" s="168"/>
      <c r="J429" s="129"/>
    </row>
    <row r="430" spans="1:10" s="149" customFormat="1" ht="12.75">
      <c r="A430" s="184">
        <v>40499</v>
      </c>
      <c r="B430" s="123">
        <v>372</v>
      </c>
      <c r="C430" s="274" t="s">
        <v>54</v>
      </c>
      <c r="D430" s="149" t="s">
        <v>971</v>
      </c>
      <c r="E430" s="170">
        <v>8000</v>
      </c>
      <c r="F430" s="199"/>
      <c r="G430" s="200"/>
      <c r="J430" s="201"/>
    </row>
    <row r="431" spans="1:9" s="149" customFormat="1" ht="13.5" customHeight="1">
      <c r="A431" s="184">
        <v>40501</v>
      </c>
      <c r="B431" s="123">
        <v>373</v>
      </c>
      <c r="C431" s="188" t="s">
        <v>41</v>
      </c>
      <c r="D431" s="248" t="s">
        <v>965</v>
      </c>
      <c r="E431" s="170">
        <v>600</v>
      </c>
      <c r="F431" s="199"/>
      <c r="G431" s="200"/>
      <c r="H431" s="126"/>
      <c r="I431" s="126"/>
    </row>
    <row r="432" spans="1:9" s="149" customFormat="1" ht="13.5" customHeight="1">
      <c r="A432" s="184">
        <v>40501</v>
      </c>
      <c r="B432" s="123">
        <v>373</v>
      </c>
      <c r="C432" s="188" t="s">
        <v>41</v>
      </c>
      <c r="D432" s="248" t="s">
        <v>966</v>
      </c>
      <c r="E432" s="170">
        <v>600</v>
      </c>
      <c r="F432" s="199"/>
      <c r="G432" s="200"/>
      <c r="H432" s="126"/>
      <c r="I432" s="126"/>
    </row>
    <row r="433" spans="1:11" s="126" customFormat="1" ht="12.75">
      <c r="A433" s="184">
        <v>40504</v>
      </c>
      <c r="B433" s="185">
        <v>374</v>
      </c>
      <c r="C433" s="185">
        <v>35</v>
      </c>
      <c r="D433" s="126" t="s">
        <v>968</v>
      </c>
      <c r="E433" s="171">
        <v>1100</v>
      </c>
      <c r="F433" s="171"/>
      <c r="G433" s="171"/>
      <c r="J433" s="240"/>
      <c r="K433" s="171"/>
    </row>
    <row r="434" spans="1:11" s="126" customFormat="1" ht="12.75">
      <c r="A434" s="184">
        <v>40504</v>
      </c>
      <c r="B434" s="185">
        <v>375</v>
      </c>
      <c r="C434" s="185">
        <v>35</v>
      </c>
      <c r="D434" s="126" t="s">
        <v>941</v>
      </c>
      <c r="E434" s="171">
        <v>3600</v>
      </c>
      <c r="F434" s="171"/>
      <c r="G434" s="171"/>
      <c r="J434" s="240"/>
      <c r="K434" s="171"/>
    </row>
    <row r="435" spans="1:9" s="149" customFormat="1" ht="13.5" customHeight="1">
      <c r="A435" s="184">
        <v>40504</v>
      </c>
      <c r="B435" s="123">
        <v>376</v>
      </c>
      <c r="C435" s="188" t="s">
        <v>41</v>
      </c>
      <c r="D435" s="248" t="s">
        <v>944</v>
      </c>
      <c r="E435" s="170">
        <v>5900.38</v>
      </c>
      <c r="F435" s="199"/>
      <c r="G435" s="200"/>
      <c r="H435" s="126"/>
      <c r="I435" s="126"/>
    </row>
    <row r="436" spans="1:10" s="149" customFormat="1" ht="12.75">
      <c r="A436" s="184">
        <v>40504</v>
      </c>
      <c r="B436" s="264">
        <v>377</v>
      </c>
      <c r="C436" s="265" t="s">
        <v>14</v>
      </c>
      <c r="D436" s="266" t="s">
        <v>950</v>
      </c>
      <c r="E436" s="170">
        <v>1000</v>
      </c>
      <c r="F436" s="199"/>
      <c r="G436" s="200"/>
      <c r="J436" s="201"/>
    </row>
    <row r="437" spans="1:10" s="149" customFormat="1" ht="12.75">
      <c r="A437" s="184">
        <v>40504</v>
      </c>
      <c r="B437" s="264">
        <v>378</v>
      </c>
      <c r="C437" s="265" t="s">
        <v>14</v>
      </c>
      <c r="D437" s="266" t="s">
        <v>916</v>
      </c>
      <c r="E437" s="170">
        <v>375</v>
      </c>
      <c r="F437" s="199"/>
      <c r="G437" s="200"/>
      <c r="J437" s="201"/>
    </row>
    <row r="438" spans="1:9" s="149" customFormat="1" ht="13.5" customHeight="1">
      <c r="A438" s="184">
        <v>40504</v>
      </c>
      <c r="B438" s="123">
        <v>379</v>
      </c>
      <c r="C438" s="188" t="s">
        <v>41</v>
      </c>
      <c r="D438" s="248" t="s">
        <v>964</v>
      </c>
      <c r="E438" s="170">
        <v>5400</v>
      </c>
      <c r="F438" s="199"/>
      <c r="G438" s="200"/>
      <c r="H438" s="126"/>
      <c r="I438" s="126"/>
    </row>
    <row r="439" spans="1:9" s="149" customFormat="1" ht="13.5" customHeight="1">
      <c r="A439" s="184">
        <v>40504</v>
      </c>
      <c r="B439" s="123">
        <v>380</v>
      </c>
      <c r="C439" s="188" t="s">
        <v>41</v>
      </c>
      <c r="D439" s="248" t="s">
        <v>963</v>
      </c>
      <c r="E439" s="170">
        <v>700</v>
      </c>
      <c r="F439" s="199"/>
      <c r="G439" s="200"/>
      <c r="H439" s="126"/>
      <c r="I439" s="126"/>
    </row>
    <row r="440" spans="1:9" s="149" customFormat="1" ht="13.5" customHeight="1">
      <c r="A440" s="184">
        <v>40504</v>
      </c>
      <c r="B440" s="123">
        <v>381</v>
      </c>
      <c r="C440" s="188">
        <v>52</v>
      </c>
      <c r="D440" s="248" t="s">
        <v>989</v>
      </c>
      <c r="E440" s="170">
        <v>495</v>
      </c>
      <c r="F440" s="199"/>
      <c r="G440" s="200"/>
      <c r="H440" s="126"/>
      <c r="I440" s="126"/>
    </row>
    <row r="441" spans="1:9" s="110" customFormat="1" ht="13.5" customHeight="1">
      <c r="A441" s="164">
        <v>40505</v>
      </c>
      <c r="B441" s="127">
        <v>382</v>
      </c>
      <c r="C441" s="131">
        <v>45</v>
      </c>
      <c r="D441" s="149" t="s">
        <v>960</v>
      </c>
      <c r="E441" s="170">
        <v>-1700</v>
      </c>
      <c r="F441" s="190"/>
      <c r="G441" s="168"/>
      <c r="H441" s="235"/>
      <c r="I441" s="235"/>
    </row>
    <row r="442" spans="1:11" s="110" customFormat="1" ht="12.75">
      <c r="A442" s="164">
        <v>40507</v>
      </c>
      <c r="B442" s="1">
        <v>383</v>
      </c>
      <c r="C442" s="127">
        <v>44</v>
      </c>
      <c r="D442" s="149" t="s">
        <v>977</v>
      </c>
      <c r="E442" s="170">
        <v>-450</v>
      </c>
      <c r="F442" s="128"/>
      <c r="G442" s="170"/>
      <c r="H442" s="235"/>
      <c r="I442" s="235"/>
      <c r="K442" s="128"/>
    </row>
    <row r="443" spans="1:11" s="110" customFormat="1" ht="12.75">
      <c r="A443" s="164">
        <v>40507</v>
      </c>
      <c r="B443" s="1">
        <v>384</v>
      </c>
      <c r="C443" s="127">
        <v>44</v>
      </c>
      <c r="D443" s="149" t="s">
        <v>981</v>
      </c>
      <c r="E443" s="170">
        <v>-1300</v>
      </c>
      <c r="F443" s="128"/>
      <c r="G443" s="170"/>
      <c r="H443" s="235"/>
      <c r="I443" s="235"/>
      <c r="K443" s="128"/>
    </row>
    <row r="444" spans="1:9" s="110" customFormat="1" ht="13.5" customHeight="1">
      <c r="A444" s="164">
        <v>40507</v>
      </c>
      <c r="B444" s="127">
        <v>385</v>
      </c>
      <c r="C444" s="131" t="s">
        <v>226</v>
      </c>
      <c r="D444" s="149" t="s">
        <v>982</v>
      </c>
      <c r="E444" s="170">
        <v>-229</v>
      </c>
      <c r="F444" s="190"/>
      <c r="G444" s="168"/>
      <c r="H444" s="235"/>
      <c r="I444" s="235"/>
    </row>
    <row r="445" spans="1:9" s="110" customFormat="1" ht="13.5" customHeight="1">
      <c r="A445" s="164">
        <v>40507</v>
      </c>
      <c r="B445" s="127">
        <v>386</v>
      </c>
      <c r="C445" s="131" t="s">
        <v>226</v>
      </c>
      <c r="D445" s="149" t="s">
        <v>983</v>
      </c>
      <c r="E445" s="170">
        <v>-603</v>
      </c>
      <c r="F445" s="190"/>
      <c r="G445" s="168"/>
      <c r="H445" s="235"/>
      <c r="I445" s="235"/>
    </row>
    <row r="446" spans="1:9" s="110" customFormat="1" ht="13.5" customHeight="1">
      <c r="A446" s="164">
        <v>40507</v>
      </c>
      <c r="B446" s="127">
        <v>387</v>
      </c>
      <c r="C446" s="131" t="s">
        <v>226</v>
      </c>
      <c r="D446" s="149" t="s">
        <v>984</v>
      </c>
      <c r="E446" s="170">
        <v>-490.7</v>
      </c>
      <c r="F446" s="190"/>
      <c r="G446" s="168"/>
      <c r="H446" s="235"/>
      <c r="I446" s="235"/>
    </row>
    <row r="447" spans="1:11" s="126" customFormat="1" ht="12.75">
      <c r="A447" s="164">
        <v>40511</v>
      </c>
      <c r="B447" s="185">
        <v>388</v>
      </c>
      <c r="C447" s="185">
        <v>35</v>
      </c>
      <c r="D447" s="126" t="s">
        <v>1000</v>
      </c>
      <c r="E447" s="171">
        <v>200</v>
      </c>
      <c r="F447" s="171"/>
      <c r="G447" s="171"/>
      <c r="H447" s="149"/>
      <c r="I447" s="149"/>
      <c r="J447" s="240"/>
      <c r="K447" s="171"/>
    </row>
    <row r="448" spans="1:7" s="149" customFormat="1" ht="13.5" customHeight="1">
      <c r="A448" s="184">
        <v>40511</v>
      </c>
      <c r="B448" s="123">
        <v>389</v>
      </c>
      <c r="C448" s="241" t="s">
        <v>34</v>
      </c>
      <c r="D448" s="149" t="s">
        <v>307</v>
      </c>
      <c r="E448" s="170">
        <v>12800</v>
      </c>
      <c r="F448" s="199"/>
      <c r="G448" s="200"/>
    </row>
    <row r="449" spans="1:7" s="110" customFormat="1" ht="13.5" customHeight="1">
      <c r="A449" s="184">
        <v>40511</v>
      </c>
      <c r="B449" s="127">
        <v>390</v>
      </c>
      <c r="C449" s="197" t="s">
        <v>34</v>
      </c>
      <c r="D449" s="110" t="s">
        <v>331</v>
      </c>
      <c r="E449" s="170">
        <v>9100</v>
      </c>
      <c r="F449" s="190"/>
      <c r="G449" s="168"/>
    </row>
    <row r="450" spans="1:7" s="110" customFormat="1" ht="13.5" customHeight="1">
      <c r="A450" s="184">
        <v>40511</v>
      </c>
      <c r="B450" s="127">
        <v>391</v>
      </c>
      <c r="C450" s="197" t="s">
        <v>34</v>
      </c>
      <c r="D450" s="110" t="s">
        <v>333</v>
      </c>
      <c r="E450" s="170">
        <v>4700</v>
      </c>
      <c r="F450" s="190"/>
      <c r="G450" s="168"/>
    </row>
    <row r="451" spans="1:10" s="110" customFormat="1" ht="12.75">
      <c r="A451" s="184">
        <v>40511</v>
      </c>
      <c r="B451" s="127">
        <v>392</v>
      </c>
      <c r="C451" s="188" t="s">
        <v>115</v>
      </c>
      <c r="D451" s="149" t="s">
        <v>994</v>
      </c>
      <c r="E451" s="170">
        <v>-4658</v>
      </c>
      <c r="F451" s="190"/>
      <c r="G451" s="168"/>
      <c r="H451" s="235"/>
      <c r="I451" s="244"/>
      <c r="J451" s="129"/>
    </row>
    <row r="452" spans="1:10" s="110" customFormat="1" ht="12.75">
      <c r="A452" s="184">
        <v>40511</v>
      </c>
      <c r="B452" s="127">
        <v>393</v>
      </c>
      <c r="C452" s="188" t="s">
        <v>115</v>
      </c>
      <c r="D452" s="149" t="s">
        <v>995</v>
      </c>
      <c r="E452" s="170">
        <v>-1359</v>
      </c>
      <c r="F452" s="190"/>
      <c r="G452" s="168"/>
      <c r="H452" s="235"/>
      <c r="I452" s="244"/>
      <c r="J452" s="129"/>
    </row>
    <row r="453" spans="1:11" ht="12.75">
      <c r="A453" s="184">
        <v>40511</v>
      </c>
      <c r="B453" s="1">
        <v>394</v>
      </c>
      <c r="C453" s="1" t="s">
        <v>226</v>
      </c>
      <c r="D453" s="126" t="s">
        <v>996</v>
      </c>
      <c r="E453" s="171">
        <v>-10000</v>
      </c>
      <c r="G453" s="5"/>
      <c r="H453" s="110"/>
      <c r="I453" s="110"/>
      <c r="J453" s="129"/>
      <c r="K453" s="5"/>
    </row>
    <row r="454" spans="1:7" s="149" customFormat="1" ht="13.5" customHeight="1">
      <c r="A454" s="184">
        <v>40512</v>
      </c>
      <c r="B454" s="123">
        <v>395</v>
      </c>
      <c r="C454" s="188" t="s">
        <v>41</v>
      </c>
      <c r="D454" s="248" t="s">
        <v>651</v>
      </c>
      <c r="E454" s="170">
        <v>-1000</v>
      </c>
      <c r="F454" s="199"/>
      <c r="G454" s="200"/>
    </row>
    <row r="455" spans="1:11" s="110" customFormat="1" ht="12.75">
      <c r="A455" s="164">
        <v>40512</v>
      </c>
      <c r="B455" s="1">
        <v>396</v>
      </c>
      <c r="C455" s="127">
        <v>44</v>
      </c>
      <c r="D455" s="149" t="s">
        <v>991</v>
      </c>
      <c r="E455" s="170">
        <v>-1600</v>
      </c>
      <c r="F455" s="128"/>
      <c r="G455" s="170"/>
      <c r="H455" s="235"/>
      <c r="I455" s="235"/>
      <c r="K455" s="128"/>
    </row>
    <row r="456" spans="1:11" ht="12.75">
      <c r="A456" s="164">
        <v>40512</v>
      </c>
      <c r="B456" s="1">
        <v>397</v>
      </c>
      <c r="C456" s="1" t="s">
        <v>226</v>
      </c>
      <c r="D456" s="126" t="s">
        <v>993</v>
      </c>
      <c r="E456" s="171">
        <v>-570</v>
      </c>
      <c r="G456" s="5"/>
      <c r="H456" s="243"/>
      <c r="I456" s="110"/>
      <c r="J456" s="129"/>
      <c r="K456" s="5"/>
    </row>
    <row r="457" spans="1:11" ht="12.75">
      <c r="A457" s="164">
        <v>40512</v>
      </c>
      <c r="B457" s="1">
        <v>398</v>
      </c>
      <c r="C457" s="1" t="s">
        <v>226</v>
      </c>
      <c r="D457" s="126" t="s">
        <v>992</v>
      </c>
      <c r="E457" s="171">
        <v>-2915</v>
      </c>
      <c r="G457" s="5"/>
      <c r="H457" s="243"/>
      <c r="I457" s="110"/>
      <c r="J457" s="129"/>
      <c r="K457" s="5"/>
    </row>
    <row r="458" spans="1:9" ht="12.75">
      <c r="A458" s="20">
        <v>40512</v>
      </c>
      <c r="B458" s="1">
        <v>399</v>
      </c>
      <c r="C458" s="1">
        <v>52</v>
      </c>
      <c r="D458" s="248" t="s">
        <v>990</v>
      </c>
      <c r="E458" s="5">
        <v>-495</v>
      </c>
      <c r="H458" s="110"/>
      <c r="I458" s="110"/>
    </row>
    <row r="459" spans="1:10" s="110" customFormat="1" ht="12.75">
      <c r="A459" s="164">
        <v>40512</v>
      </c>
      <c r="B459" s="127">
        <v>400</v>
      </c>
      <c r="C459" s="131" t="s">
        <v>114</v>
      </c>
      <c r="D459" s="149" t="s">
        <v>972</v>
      </c>
      <c r="E459" s="170">
        <v>-300</v>
      </c>
      <c r="F459" s="190"/>
      <c r="G459" s="168"/>
      <c r="J459" s="129"/>
    </row>
    <row r="460" spans="1:9" s="126" customFormat="1" ht="12.75">
      <c r="A460" s="184">
        <v>40512</v>
      </c>
      <c r="B460" s="185">
        <v>401</v>
      </c>
      <c r="C460" s="247">
        <v>52</v>
      </c>
      <c r="D460" s="216" t="s">
        <v>1001</v>
      </c>
      <c r="E460" s="171">
        <v>-42</v>
      </c>
      <c r="F460" s="254"/>
      <c r="G460" s="255"/>
      <c r="H460" s="149"/>
      <c r="I460" s="149"/>
    </row>
    <row r="461" spans="1:10" s="110" customFormat="1" ht="12.75">
      <c r="A461" s="164">
        <v>40513</v>
      </c>
      <c r="B461" s="127">
        <v>402</v>
      </c>
      <c r="C461" s="131" t="s">
        <v>114</v>
      </c>
      <c r="D461" s="149" t="s">
        <v>978</v>
      </c>
      <c r="E461" s="170">
        <v>-230</v>
      </c>
      <c r="F461" s="190"/>
      <c r="G461" s="168"/>
      <c r="J461" s="129"/>
    </row>
    <row r="462" spans="1:11" ht="12.75">
      <c r="A462" s="184">
        <v>40514</v>
      </c>
      <c r="B462" s="1">
        <v>403</v>
      </c>
      <c r="C462" s="1" t="s">
        <v>226</v>
      </c>
      <c r="D462" s="126" t="s">
        <v>973</v>
      </c>
      <c r="E462" s="171">
        <v>-3274</v>
      </c>
      <c r="G462" s="5"/>
      <c r="H462" s="110"/>
      <c r="I462" s="110"/>
      <c r="J462" s="129"/>
      <c r="K462" s="5"/>
    </row>
    <row r="463" spans="1:10" s="110" customFormat="1" ht="12.75">
      <c r="A463" s="164">
        <v>40518</v>
      </c>
      <c r="B463" s="127">
        <v>404</v>
      </c>
      <c r="C463" s="131" t="s">
        <v>183</v>
      </c>
      <c r="D463" s="149" t="s">
        <v>1014</v>
      </c>
      <c r="E463" s="170">
        <v>250</v>
      </c>
      <c r="F463" s="190"/>
      <c r="G463" s="168"/>
      <c r="J463" s="129"/>
    </row>
    <row r="464" spans="1:7" s="149" customFormat="1" ht="13.5" customHeight="1">
      <c r="A464" s="184">
        <v>40518</v>
      </c>
      <c r="B464" s="123">
        <v>405</v>
      </c>
      <c r="C464" s="241" t="s">
        <v>34</v>
      </c>
      <c r="D464" s="149" t="s">
        <v>332</v>
      </c>
      <c r="E464" s="170">
        <v>8800</v>
      </c>
      <c r="F464" s="199"/>
      <c r="G464" s="200"/>
    </row>
    <row r="465" spans="1:10" s="110" customFormat="1" ht="12.75">
      <c r="A465" s="184">
        <v>40518</v>
      </c>
      <c r="B465" s="127">
        <v>406</v>
      </c>
      <c r="C465" s="188" t="s">
        <v>115</v>
      </c>
      <c r="D465" s="149" t="s">
        <v>1013</v>
      </c>
      <c r="E465" s="170">
        <v>-811</v>
      </c>
      <c r="F465" s="190"/>
      <c r="G465" s="168"/>
      <c r="H465" s="235"/>
      <c r="I465" s="244"/>
      <c r="J465" s="129"/>
    </row>
    <row r="466" spans="1:11" ht="12.75">
      <c r="A466" s="184">
        <v>40518</v>
      </c>
      <c r="B466" s="1">
        <v>407</v>
      </c>
      <c r="C466" s="1" t="s">
        <v>226</v>
      </c>
      <c r="D466" s="126" t="s">
        <v>997</v>
      </c>
      <c r="E466" s="171">
        <v>-227</v>
      </c>
      <c r="G466" s="5"/>
      <c r="I466" s="110"/>
      <c r="J466" s="129"/>
      <c r="K466" s="5"/>
    </row>
    <row r="467" spans="1:11" ht="12.75">
      <c r="A467" s="184">
        <v>40518</v>
      </c>
      <c r="B467" s="1">
        <v>408</v>
      </c>
      <c r="C467" s="1" t="s">
        <v>259</v>
      </c>
      <c r="D467" s="126" t="s">
        <v>998</v>
      </c>
      <c r="E467" s="171">
        <v>-6000</v>
      </c>
      <c r="G467" s="5"/>
      <c r="I467" s="110"/>
      <c r="J467" s="129"/>
      <c r="K467" s="5"/>
    </row>
    <row r="468" spans="1:11" ht="12.75">
      <c r="A468" s="184">
        <v>40518</v>
      </c>
      <c r="B468" s="1">
        <v>409</v>
      </c>
      <c r="C468" s="1" t="s">
        <v>259</v>
      </c>
      <c r="D468" s="126" t="s">
        <v>999</v>
      </c>
      <c r="E468" s="171">
        <v>-6000</v>
      </c>
      <c r="G468" s="5"/>
      <c r="I468" s="110"/>
      <c r="J468" s="129"/>
      <c r="K468" s="5"/>
    </row>
    <row r="469" spans="1:9" s="149" customFormat="1" ht="13.5" customHeight="1">
      <c r="A469" s="184">
        <v>40521</v>
      </c>
      <c r="B469" s="123">
        <v>410</v>
      </c>
      <c r="C469" s="241" t="s">
        <v>34</v>
      </c>
      <c r="D469" s="149" t="s">
        <v>334</v>
      </c>
      <c r="E469" s="170">
        <v>7600</v>
      </c>
      <c r="F469" s="199"/>
      <c r="G469" s="200"/>
      <c r="H469" s="126"/>
      <c r="I469" s="126"/>
    </row>
    <row r="470" spans="1:10" s="149" customFormat="1" ht="12.75">
      <c r="A470" s="184">
        <v>40522</v>
      </c>
      <c r="B470" s="123">
        <v>411</v>
      </c>
      <c r="C470" s="188" t="s">
        <v>114</v>
      </c>
      <c r="D470" s="149" t="s">
        <v>986</v>
      </c>
      <c r="E470" s="170">
        <f>-400*649.5/740</f>
        <v>-351.0810810810811</v>
      </c>
      <c r="F470" s="199"/>
      <c r="G470" s="200"/>
      <c r="J470" s="201"/>
    </row>
    <row r="471" spans="1:10" s="149" customFormat="1" ht="12.75">
      <c r="A471" s="184">
        <v>40522</v>
      </c>
      <c r="B471" s="123">
        <v>411</v>
      </c>
      <c r="C471" s="188" t="s">
        <v>114</v>
      </c>
      <c r="D471" s="149" t="s">
        <v>985</v>
      </c>
      <c r="E471" s="170">
        <f>-340*649.5/740</f>
        <v>-298.4189189189189</v>
      </c>
      <c r="F471" s="199"/>
      <c r="G471" s="200"/>
      <c r="J471" s="201"/>
    </row>
    <row r="472" spans="1:14" s="126" customFormat="1" ht="12.75">
      <c r="A472" s="184">
        <v>40522</v>
      </c>
      <c r="B472" s="185">
        <v>411</v>
      </c>
      <c r="C472" s="185">
        <v>52</v>
      </c>
      <c r="D472" s="126" t="s">
        <v>938</v>
      </c>
      <c r="E472" s="171">
        <v>-30</v>
      </c>
      <c r="F472" s="171"/>
      <c r="G472" s="171"/>
      <c r="H472" s="243"/>
      <c r="I472" s="243"/>
      <c r="J472" s="201"/>
      <c r="K472" s="170"/>
      <c r="L472" s="149"/>
      <c r="M472" s="256"/>
      <c r="N472" s="256"/>
    </row>
    <row r="473" spans="1:11" ht="12.75">
      <c r="A473" s="164">
        <v>40522</v>
      </c>
      <c r="B473" s="1">
        <v>412</v>
      </c>
      <c r="C473" s="1" t="s">
        <v>226</v>
      </c>
      <c r="D473" s="126" t="s">
        <v>1020</v>
      </c>
      <c r="E473" s="171">
        <v>-900</v>
      </c>
      <c r="G473" s="5"/>
      <c r="I473" s="110"/>
      <c r="J473" s="129"/>
      <c r="K473" s="5"/>
    </row>
    <row r="474" spans="1:10" s="110" customFormat="1" ht="12.75">
      <c r="A474" s="164">
        <v>40522</v>
      </c>
      <c r="B474" s="127">
        <v>413</v>
      </c>
      <c r="C474" s="131" t="s">
        <v>114</v>
      </c>
      <c r="D474" s="149" t="s">
        <v>1018</v>
      </c>
      <c r="E474" s="170">
        <v>-720</v>
      </c>
      <c r="F474" s="190"/>
      <c r="G474" s="168"/>
      <c r="J474" s="129"/>
    </row>
    <row r="475" spans="1:11" ht="12.75">
      <c r="A475" s="164">
        <v>40522</v>
      </c>
      <c r="B475" s="1">
        <v>414</v>
      </c>
      <c r="C475" s="1" t="s">
        <v>259</v>
      </c>
      <c r="D475" s="126" t="s">
        <v>1008</v>
      </c>
      <c r="E475" s="171">
        <v>-700</v>
      </c>
      <c r="G475" s="5"/>
      <c r="I475" s="110"/>
      <c r="J475" s="129"/>
      <c r="K475" s="5"/>
    </row>
    <row r="476" spans="1:11" ht="12.75">
      <c r="A476" s="164">
        <v>40522</v>
      </c>
      <c r="B476" s="1">
        <v>415</v>
      </c>
      <c r="C476" s="1" t="s">
        <v>259</v>
      </c>
      <c r="D476" s="126" t="s">
        <v>1010</v>
      </c>
      <c r="E476" s="171">
        <v>-1500</v>
      </c>
      <c r="G476" s="5"/>
      <c r="I476" s="110"/>
      <c r="J476" s="129"/>
      <c r="K476" s="5"/>
    </row>
    <row r="477" spans="1:11" s="126" customFormat="1" ht="12.75">
      <c r="A477" s="184">
        <v>40525</v>
      </c>
      <c r="B477" s="185">
        <v>416</v>
      </c>
      <c r="C477" s="185">
        <v>35</v>
      </c>
      <c r="D477" s="126" t="s">
        <v>719</v>
      </c>
      <c r="E477" s="171">
        <v>353</v>
      </c>
      <c r="F477" s="171"/>
      <c r="G477" s="171"/>
      <c r="H477" s="149"/>
      <c r="J477" s="240"/>
      <c r="K477" s="171"/>
    </row>
    <row r="478" spans="1:9" s="149" customFormat="1" ht="13.5" customHeight="1">
      <c r="A478" s="184">
        <v>40526</v>
      </c>
      <c r="B478" s="123">
        <v>417</v>
      </c>
      <c r="C478" s="241" t="s">
        <v>34</v>
      </c>
      <c r="D478" s="149" t="s">
        <v>335</v>
      </c>
      <c r="E478" s="170">
        <v>15500</v>
      </c>
      <c r="F478" s="199"/>
      <c r="G478" s="200"/>
      <c r="I478" s="126"/>
    </row>
    <row r="479" spans="1:9" s="149" customFormat="1" ht="13.5" customHeight="1">
      <c r="A479" s="184">
        <v>40526</v>
      </c>
      <c r="B479" s="123">
        <v>418</v>
      </c>
      <c r="C479" s="188" t="s">
        <v>41</v>
      </c>
      <c r="D479" s="248" t="s">
        <v>1029</v>
      </c>
      <c r="E479" s="170">
        <v>1365.6</v>
      </c>
      <c r="F479" s="199"/>
      <c r="G479" s="200"/>
      <c r="I479" s="126"/>
    </row>
    <row r="480" spans="1:11" s="126" customFormat="1" ht="12.75">
      <c r="A480" s="184">
        <v>40526</v>
      </c>
      <c r="B480" s="185">
        <v>419</v>
      </c>
      <c r="C480" s="185">
        <v>35</v>
      </c>
      <c r="D480" s="126" t="s">
        <v>1030</v>
      </c>
      <c r="E480" s="171">
        <v>1120</v>
      </c>
      <c r="F480" s="171"/>
      <c r="G480" s="171"/>
      <c r="H480" s="149"/>
      <c r="J480" s="240"/>
      <c r="K480" s="171"/>
    </row>
    <row r="481" spans="1:10" s="110" customFormat="1" ht="12.75">
      <c r="A481" s="164">
        <v>40526</v>
      </c>
      <c r="B481" s="127">
        <v>420</v>
      </c>
      <c r="C481" s="131" t="s">
        <v>114</v>
      </c>
      <c r="D481" s="149" t="s">
        <v>1019</v>
      </c>
      <c r="E481" s="170">
        <v>-130</v>
      </c>
      <c r="F481" s="190"/>
      <c r="G481" s="168"/>
      <c r="J481" s="129"/>
    </row>
    <row r="482" spans="1:10" s="110" customFormat="1" ht="12.75">
      <c r="A482" s="164">
        <v>40526</v>
      </c>
      <c r="B482" s="127">
        <v>421</v>
      </c>
      <c r="C482" s="131" t="s">
        <v>114</v>
      </c>
      <c r="D482" s="149" t="s">
        <v>1021</v>
      </c>
      <c r="E482" s="170">
        <v>-527</v>
      </c>
      <c r="F482" s="190"/>
      <c r="G482" s="168"/>
      <c r="J482" s="129"/>
    </row>
    <row r="483" spans="1:7" ht="12.75">
      <c r="A483" s="164">
        <v>40526</v>
      </c>
      <c r="B483" s="1">
        <v>422</v>
      </c>
      <c r="C483" s="4">
        <v>52</v>
      </c>
      <c r="D483" s="216" t="s">
        <v>1026</v>
      </c>
      <c r="E483" s="171">
        <v>-420</v>
      </c>
      <c r="F483" s="7"/>
      <c r="G483" s="60"/>
    </row>
    <row r="484" spans="1:7" ht="12.75">
      <c r="A484" s="164">
        <v>40526</v>
      </c>
      <c r="B484" s="1">
        <v>423</v>
      </c>
      <c r="C484" s="4">
        <v>52</v>
      </c>
      <c r="D484" s="216" t="s">
        <v>1027</v>
      </c>
      <c r="E484" s="171">
        <v>-138.5</v>
      </c>
      <c r="F484" s="7"/>
      <c r="G484" s="60"/>
    </row>
    <row r="485" spans="1:11" s="126" customFormat="1" ht="12.75">
      <c r="A485" s="184">
        <v>40527</v>
      </c>
      <c r="B485" s="185">
        <v>424</v>
      </c>
      <c r="C485" s="185">
        <v>35</v>
      </c>
      <c r="D485" s="126" t="s">
        <v>1034</v>
      </c>
      <c r="E485" s="171">
        <v>960</v>
      </c>
      <c r="F485" s="171"/>
      <c r="G485" s="171"/>
      <c r="H485" s="149"/>
      <c r="J485" s="240"/>
      <c r="K485" s="171"/>
    </row>
    <row r="486" spans="1:11" ht="12.75">
      <c r="A486" s="164">
        <v>40527</v>
      </c>
      <c r="B486" s="1">
        <v>425</v>
      </c>
      <c r="C486" s="1" t="s">
        <v>259</v>
      </c>
      <c r="D486" s="126" t="s">
        <v>1012</v>
      </c>
      <c r="E486" s="171">
        <v>-1500</v>
      </c>
      <c r="G486" s="5"/>
      <c r="H486" s="244"/>
      <c r="I486" s="110"/>
      <c r="J486" s="129"/>
      <c r="K486" s="5"/>
    </row>
    <row r="487" spans="1:11" ht="12.75">
      <c r="A487" s="164">
        <v>40527</v>
      </c>
      <c r="B487" s="1">
        <v>426</v>
      </c>
      <c r="C487" s="1" t="s">
        <v>259</v>
      </c>
      <c r="D487" s="126" t="s">
        <v>1006</v>
      </c>
      <c r="E487" s="171">
        <v>-5000</v>
      </c>
      <c r="G487" s="5"/>
      <c r="H487" s="244"/>
      <c r="I487" s="110"/>
      <c r="J487" s="129"/>
      <c r="K487" s="5"/>
    </row>
    <row r="488" spans="1:10" s="149" customFormat="1" ht="12.75">
      <c r="A488" s="184">
        <v>40527</v>
      </c>
      <c r="B488" s="123">
        <v>427</v>
      </c>
      <c r="C488" s="274" t="s">
        <v>36</v>
      </c>
      <c r="D488" s="149" t="s">
        <v>1035</v>
      </c>
      <c r="E488" s="170">
        <v>1365</v>
      </c>
      <c r="F488" s="199"/>
      <c r="G488" s="200"/>
      <c r="J488" s="201"/>
    </row>
    <row r="489" spans="1:10" s="149" customFormat="1" ht="12.75">
      <c r="A489" s="184">
        <v>40529</v>
      </c>
      <c r="B489" s="264">
        <v>428</v>
      </c>
      <c r="C489" s="265" t="s">
        <v>14</v>
      </c>
      <c r="D489" s="266" t="s">
        <v>1032</v>
      </c>
      <c r="E489" s="170">
        <v>1125</v>
      </c>
      <c r="F489" s="199"/>
      <c r="G489" s="200"/>
      <c r="J489" s="201"/>
    </row>
    <row r="490" spans="1:10" s="149" customFormat="1" ht="12.75">
      <c r="A490" s="184">
        <v>40529</v>
      </c>
      <c r="B490" s="264">
        <v>429</v>
      </c>
      <c r="C490" s="265" t="s">
        <v>14</v>
      </c>
      <c r="D490" s="266" t="s">
        <v>1033</v>
      </c>
      <c r="E490" s="170">
        <v>500</v>
      </c>
      <c r="F490" s="199"/>
      <c r="G490" s="200"/>
      <c r="J490" s="201"/>
    </row>
    <row r="491" spans="1:9" s="149" customFormat="1" ht="13.5" customHeight="1">
      <c r="A491" s="184">
        <v>40529</v>
      </c>
      <c r="B491" s="123">
        <v>430</v>
      </c>
      <c r="C491" s="188" t="s">
        <v>41</v>
      </c>
      <c r="D491" s="248" t="s">
        <v>1028</v>
      </c>
      <c r="E491" s="170">
        <v>2048.4</v>
      </c>
      <c r="F491" s="199"/>
      <c r="G491" s="200"/>
      <c r="H491" s="126"/>
      <c r="I491" s="126"/>
    </row>
    <row r="492" spans="1:11" s="126" customFormat="1" ht="12.75">
      <c r="A492" s="184">
        <v>40529</v>
      </c>
      <c r="B492" s="123">
        <v>431</v>
      </c>
      <c r="C492" s="185">
        <v>35</v>
      </c>
      <c r="D492" s="126" t="s">
        <v>1037</v>
      </c>
      <c r="E492" s="171">
        <v>2560</v>
      </c>
      <c r="F492" s="171"/>
      <c r="G492" s="171"/>
      <c r="H492" s="149"/>
      <c r="J492" s="240"/>
      <c r="K492" s="171"/>
    </row>
    <row r="493" spans="1:11" ht="12.75">
      <c r="A493" s="184">
        <v>40529</v>
      </c>
      <c r="B493" s="1">
        <v>432</v>
      </c>
      <c r="C493" s="1" t="s">
        <v>226</v>
      </c>
      <c r="D493" s="126" t="s">
        <v>1025</v>
      </c>
      <c r="E493" s="171">
        <v>-10000</v>
      </c>
      <c r="G493" s="5"/>
      <c r="H493" s="244"/>
      <c r="I493" s="110"/>
      <c r="J493" s="129"/>
      <c r="K493" s="5"/>
    </row>
    <row r="494" spans="1:11" ht="12.75">
      <c r="A494" s="184">
        <v>40529</v>
      </c>
      <c r="B494" s="1">
        <v>433</v>
      </c>
      <c r="C494" s="1" t="s">
        <v>259</v>
      </c>
      <c r="D494" s="126" t="s">
        <v>1011</v>
      </c>
      <c r="E494" s="171">
        <v>-1500</v>
      </c>
      <c r="G494" s="5"/>
      <c r="H494" s="244"/>
      <c r="I494" s="110"/>
      <c r="J494" s="129"/>
      <c r="K494" s="5"/>
    </row>
    <row r="495" spans="1:11" ht="12.75">
      <c r="A495" s="184">
        <v>40529</v>
      </c>
      <c r="B495" s="1">
        <v>434</v>
      </c>
      <c r="C495" s="1" t="s">
        <v>259</v>
      </c>
      <c r="D495" s="126" t="s">
        <v>1002</v>
      </c>
      <c r="E495" s="171">
        <v>-3000</v>
      </c>
      <c r="G495" s="5"/>
      <c r="H495" s="244"/>
      <c r="I495" s="110"/>
      <c r="J495" s="129"/>
      <c r="K495" s="5"/>
    </row>
    <row r="496" spans="1:11" ht="12.75">
      <c r="A496" s="164">
        <v>40529</v>
      </c>
      <c r="B496" s="1">
        <v>435</v>
      </c>
      <c r="C496" s="1" t="s">
        <v>226</v>
      </c>
      <c r="D496" s="126" t="s">
        <v>1036</v>
      </c>
      <c r="E496" s="171">
        <v>-550</v>
      </c>
      <c r="G496" s="5"/>
      <c r="H496" s="243"/>
      <c r="J496" s="129"/>
      <c r="K496" s="5"/>
    </row>
    <row r="497" spans="1:11" ht="12.75">
      <c r="A497" s="164">
        <v>40532</v>
      </c>
      <c r="B497" s="1">
        <v>436</v>
      </c>
      <c r="C497" s="1" t="s">
        <v>259</v>
      </c>
      <c r="D497" s="126" t="s">
        <v>1007</v>
      </c>
      <c r="E497" s="171">
        <v>-7000</v>
      </c>
      <c r="G497" s="5"/>
      <c r="H497" s="244"/>
      <c r="I497" s="110"/>
      <c r="J497" s="129"/>
      <c r="K497" s="5"/>
    </row>
    <row r="498" spans="1:11" ht="12.75">
      <c r="A498" s="164">
        <v>40532</v>
      </c>
      <c r="B498" s="1">
        <v>437</v>
      </c>
      <c r="C498" s="1" t="s">
        <v>259</v>
      </c>
      <c r="D498" s="126" t="s">
        <v>1009</v>
      </c>
      <c r="E498" s="171">
        <v>-1500</v>
      </c>
      <c r="G498" s="5"/>
      <c r="H498" s="244"/>
      <c r="I498" s="110"/>
      <c r="J498" s="129"/>
      <c r="K498" s="5"/>
    </row>
    <row r="499" spans="1:11" ht="12.75">
      <c r="A499" s="164">
        <v>40532</v>
      </c>
      <c r="B499" s="1">
        <v>438</v>
      </c>
      <c r="C499" s="1" t="s">
        <v>259</v>
      </c>
      <c r="D499" s="126" t="s">
        <v>1005</v>
      </c>
      <c r="E499" s="171">
        <v>-5000</v>
      </c>
      <c r="G499" s="5"/>
      <c r="H499" s="244"/>
      <c r="I499" s="110"/>
      <c r="J499" s="129"/>
      <c r="K499" s="5"/>
    </row>
    <row r="500" spans="1:11" ht="12.75">
      <c r="A500" s="164">
        <v>40532</v>
      </c>
      <c r="B500" s="1">
        <v>439</v>
      </c>
      <c r="C500" s="1" t="s">
        <v>259</v>
      </c>
      <c r="D500" s="126" t="s">
        <v>1004</v>
      </c>
      <c r="E500" s="171">
        <v>-4000</v>
      </c>
      <c r="G500" s="5"/>
      <c r="H500" s="244"/>
      <c r="I500" s="110"/>
      <c r="J500" s="129"/>
      <c r="K500" s="5"/>
    </row>
    <row r="501" spans="1:10" s="110" customFormat="1" ht="12.75">
      <c r="A501" s="164">
        <v>40532</v>
      </c>
      <c r="B501" s="127">
        <v>440</v>
      </c>
      <c r="C501" s="131" t="s">
        <v>114</v>
      </c>
      <c r="D501" s="149" t="s">
        <v>1038</v>
      </c>
      <c r="E501" s="170">
        <v>-180</v>
      </c>
      <c r="F501" s="190"/>
      <c r="G501" s="168"/>
      <c r="J501" s="129"/>
    </row>
    <row r="502" spans="1:10" s="110" customFormat="1" ht="12.75">
      <c r="A502" s="164">
        <v>40532</v>
      </c>
      <c r="B502" s="127">
        <v>441</v>
      </c>
      <c r="C502" s="131" t="s">
        <v>114</v>
      </c>
      <c r="D502" s="149" t="s">
        <v>1039</v>
      </c>
      <c r="E502" s="170">
        <v>-60</v>
      </c>
      <c r="F502" s="190"/>
      <c r="G502" s="168"/>
      <c r="J502" s="129"/>
    </row>
    <row r="503" spans="1:10" s="110" customFormat="1" ht="12.75">
      <c r="A503" s="164">
        <v>40533</v>
      </c>
      <c r="B503" s="127">
        <v>442</v>
      </c>
      <c r="C503" s="131" t="s">
        <v>114</v>
      </c>
      <c r="D503" s="149" t="s">
        <v>1045</v>
      </c>
      <c r="E503" s="170">
        <v>-2745</v>
      </c>
      <c r="F503" s="190"/>
      <c r="G503" s="168"/>
      <c r="J503" s="129"/>
    </row>
    <row r="504" spans="1:10" s="149" customFormat="1" ht="12.75">
      <c r="A504" s="278">
        <v>40533</v>
      </c>
      <c r="B504" s="264">
        <v>443</v>
      </c>
      <c r="C504" s="265" t="s">
        <v>14</v>
      </c>
      <c r="D504" s="277" t="s">
        <v>1058</v>
      </c>
      <c r="E504" s="170">
        <v>1125</v>
      </c>
      <c r="F504" s="199"/>
      <c r="G504" s="200"/>
      <c r="J504" s="201"/>
    </row>
    <row r="505" spans="1:11" ht="12.75">
      <c r="A505" s="164">
        <v>40534</v>
      </c>
      <c r="B505" s="1">
        <v>444</v>
      </c>
      <c r="C505" s="1" t="s">
        <v>226</v>
      </c>
      <c r="D505" s="126" t="s">
        <v>1046</v>
      </c>
      <c r="E505" s="171">
        <v>-1680</v>
      </c>
      <c r="G505" s="5"/>
      <c r="H505" s="243"/>
      <c r="J505" s="129"/>
      <c r="K505" s="5"/>
    </row>
    <row r="506" spans="1:11" ht="12.75">
      <c r="A506" s="164">
        <v>40534</v>
      </c>
      <c r="B506" s="1">
        <v>445</v>
      </c>
      <c r="C506" s="1" t="s">
        <v>259</v>
      </c>
      <c r="D506" s="126" t="s">
        <v>1003</v>
      </c>
      <c r="E506" s="171">
        <v>-850</v>
      </c>
      <c r="G506" s="5"/>
      <c r="H506" s="244"/>
      <c r="I506" s="110"/>
      <c r="J506" s="129"/>
      <c r="K506" s="5"/>
    </row>
    <row r="507" spans="1:9" s="110" customFormat="1" ht="13.5" customHeight="1">
      <c r="A507" s="164">
        <v>40534</v>
      </c>
      <c r="B507" s="127">
        <v>446</v>
      </c>
      <c r="C507" s="131">
        <v>45</v>
      </c>
      <c r="D507" s="149" t="s">
        <v>1047</v>
      </c>
      <c r="E507" s="170">
        <v>-5500</v>
      </c>
      <c r="F507" s="190"/>
      <c r="G507" s="168"/>
      <c r="H507" s="235"/>
      <c r="I507" s="235"/>
    </row>
    <row r="508" spans="1:11" s="110" customFormat="1" ht="12.75">
      <c r="A508" s="164">
        <v>40534</v>
      </c>
      <c r="B508" s="1">
        <v>447</v>
      </c>
      <c r="C508" s="127">
        <v>44</v>
      </c>
      <c r="D508" s="149" t="s">
        <v>1048</v>
      </c>
      <c r="E508" s="170">
        <v>-1647</v>
      </c>
      <c r="F508" s="128"/>
      <c r="G508" s="170"/>
      <c r="H508" s="235"/>
      <c r="I508" s="235"/>
      <c r="K508" s="128"/>
    </row>
    <row r="509" spans="1:10" s="149" customFormat="1" ht="12.75">
      <c r="A509" s="184">
        <v>40535</v>
      </c>
      <c r="B509" s="123">
        <v>448</v>
      </c>
      <c r="C509" s="274" t="s">
        <v>36</v>
      </c>
      <c r="D509" s="149" t="s">
        <v>1059</v>
      </c>
      <c r="E509" s="170">
        <v>273.9</v>
      </c>
      <c r="F509" s="199"/>
      <c r="G509" s="200"/>
      <c r="J509" s="201"/>
    </row>
    <row r="510" spans="1:10" s="110" customFormat="1" ht="12.75">
      <c r="A510" s="164">
        <v>40535</v>
      </c>
      <c r="B510" s="127">
        <v>449</v>
      </c>
      <c r="C510" s="275" t="s">
        <v>225</v>
      </c>
      <c r="D510" s="149" t="s">
        <v>1060</v>
      </c>
      <c r="E510" s="170">
        <v>15580</v>
      </c>
      <c r="F510" s="190"/>
      <c r="G510" s="168"/>
      <c r="J510" s="129"/>
    </row>
    <row r="511" spans="1:7" ht="12.75">
      <c r="A511" s="164">
        <v>40539</v>
      </c>
      <c r="B511" s="1">
        <v>450</v>
      </c>
      <c r="C511" s="4" t="s">
        <v>246</v>
      </c>
      <c r="D511" s="126" t="s">
        <v>410</v>
      </c>
      <c r="E511" s="5">
        <v>20000</v>
      </c>
      <c r="G511" s="5"/>
    </row>
    <row r="512" spans="1:9" s="110" customFormat="1" ht="13.5" customHeight="1">
      <c r="A512" s="184">
        <v>40539</v>
      </c>
      <c r="B512" s="127">
        <v>451</v>
      </c>
      <c r="C512" s="131">
        <v>45</v>
      </c>
      <c r="D512" s="149" t="s">
        <v>1031</v>
      </c>
      <c r="E512" s="170">
        <v>-4000</v>
      </c>
      <c r="F512" s="190"/>
      <c r="G512" s="168"/>
      <c r="H512" s="235"/>
      <c r="I512" s="235"/>
    </row>
    <row r="513" spans="1:11" s="110" customFormat="1" ht="12.75">
      <c r="A513" s="184">
        <v>40539</v>
      </c>
      <c r="B513" s="1">
        <v>452</v>
      </c>
      <c r="C513" s="127">
        <v>44</v>
      </c>
      <c r="D513" s="149" t="s">
        <v>1049</v>
      </c>
      <c r="E513" s="170">
        <v>-2300</v>
      </c>
      <c r="F513" s="128"/>
      <c r="G513" s="170"/>
      <c r="K513" s="128"/>
    </row>
    <row r="514" spans="1:9" s="110" customFormat="1" ht="13.5" customHeight="1">
      <c r="A514" s="184">
        <v>40539</v>
      </c>
      <c r="B514" s="127">
        <v>453</v>
      </c>
      <c r="C514" s="131">
        <v>45</v>
      </c>
      <c r="D514" s="149" t="s">
        <v>1055</v>
      </c>
      <c r="E514" s="170">
        <v>-758</v>
      </c>
      <c r="F514" s="190"/>
      <c r="G514" s="168"/>
      <c r="H514" s="235"/>
      <c r="I514" s="235"/>
    </row>
    <row r="515" spans="1:9" s="110" customFormat="1" ht="13.5" customHeight="1">
      <c r="A515" s="184">
        <v>40539</v>
      </c>
      <c r="B515" s="127">
        <v>454</v>
      </c>
      <c r="C515" s="131">
        <v>45</v>
      </c>
      <c r="D515" s="149" t="s">
        <v>1056</v>
      </c>
      <c r="E515" s="170">
        <v>-828</v>
      </c>
      <c r="F515" s="190"/>
      <c r="G515" s="168"/>
      <c r="H515" s="235"/>
      <c r="I515" s="235"/>
    </row>
    <row r="516" spans="1:11" s="110" customFormat="1" ht="13.5" customHeight="1">
      <c r="A516" s="184">
        <v>40539</v>
      </c>
      <c r="B516" s="127">
        <v>455</v>
      </c>
      <c r="C516" s="131">
        <v>45</v>
      </c>
      <c r="D516" s="149" t="s">
        <v>1057</v>
      </c>
      <c r="E516" s="170">
        <v>-3642.25</v>
      </c>
      <c r="F516" s="190"/>
      <c r="G516" s="168"/>
      <c r="H516" s="235"/>
      <c r="I516" s="235"/>
      <c r="K516" s="149"/>
    </row>
    <row r="517" spans="1:10" s="269" customFormat="1" ht="12.75">
      <c r="A517" s="184">
        <v>40539</v>
      </c>
      <c r="B517" s="264">
        <v>456</v>
      </c>
      <c r="C517" s="265" t="s">
        <v>14</v>
      </c>
      <c r="D517" s="266" t="s">
        <v>1050</v>
      </c>
      <c r="E517" s="170">
        <v>2940</v>
      </c>
      <c r="F517" s="267"/>
      <c r="G517" s="268"/>
      <c r="J517" s="270"/>
    </row>
    <row r="518" spans="1:10" s="269" customFormat="1" ht="12.75">
      <c r="A518" s="184">
        <v>40539</v>
      </c>
      <c r="B518" s="264">
        <v>457</v>
      </c>
      <c r="C518" s="265" t="s">
        <v>41</v>
      </c>
      <c r="D518" s="266" t="s">
        <v>1052</v>
      </c>
      <c r="E518" s="170">
        <v>6500</v>
      </c>
      <c r="F518" s="267"/>
      <c r="G518" s="268"/>
      <c r="J518" s="270"/>
    </row>
    <row r="519" spans="1:9" s="110" customFormat="1" ht="13.5" customHeight="1">
      <c r="A519" s="184">
        <v>40539</v>
      </c>
      <c r="B519" s="127">
        <v>458</v>
      </c>
      <c r="C519" s="197" t="s">
        <v>34</v>
      </c>
      <c r="D519" s="110" t="s">
        <v>307</v>
      </c>
      <c r="E519" s="170">
        <v>2500</v>
      </c>
      <c r="F519" s="190"/>
      <c r="G519" s="168"/>
      <c r="H519" s="2"/>
      <c r="I519" s="2"/>
    </row>
    <row r="520" spans="1:9" s="149" customFormat="1" ht="13.5" customHeight="1">
      <c r="A520" s="184">
        <v>40540</v>
      </c>
      <c r="B520" s="123">
        <v>459</v>
      </c>
      <c r="C520" s="188" t="s">
        <v>14</v>
      </c>
      <c r="D520" s="149" t="s">
        <v>1062</v>
      </c>
      <c r="E520" s="170">
        <v>6838</v>
      </c>
      <c r="F520" s="199"/>
      <c r="G520" s="200"/>
      <c r="H520" s="243"/>
      <c r="I520" s="243"/>
    </row>
    <row r="521" spans="1:9" s="149" customFormat="1" ht="13.5" customHeight="1">
      <c r="A521" s="184">
        <v>40540</v>
      </c>
      <c r="B521" s="123">
        <v>460</v>
      </c>
      <c r="C521" s="241" t="s">
        <v>34</v>
      </c>
      <c r="D521" s="149" t="s">
        <v>332</v>
      </c>
      <c r="E521" s="170">
        <v>2500</v>
      </c>
      <c r="F521" s="199"/>
      <c r="G521" s="200"/>
      <c r="H521" s="126"/>
      <c r="I521" s="126"/>
    </row>
    <row r="522" spans="1:9" s="149" customFormat="1" ht="13.5" customHeight="1">
      <c r="A522" s="184">
        <v>40540</v>
      </c>
      <c r="B522" s="123">
        <v>461</v>
      </c>
      <c r="C522" s="241" t="s">
        <v>34</v>
      </c>
      <c r="D522" s="149" t="s">
        <v>331</v>
      </c>
      <c r="E522" s="170">
        <v>2500</v>
      </c>
      <c r="F522" s="199"/>
      <c r="G522" s="200"/>
      <c r="H522" s="126"/>
      <c r="I522" s="126"/>
    </row>
    <row r="523" spans="1:9" s="110" customFormat="1" ht="13.5" customHeight="1">
      <c r="A523" s="164">
        <v>40540</v>
      </c>
      <c r="B523" s="127">
        <v>462</v>
      </c>
      <c r="C523" s="131">
        <v>45</v>
      </c>
      <c r="D523" s="149" t="s">
        <v>1054</v>
      </c>
      <c r="E523" s="170">
        <v>-5840</v>
      </c>
      <c r="F523" s="190"/>
      <c r="G523" s="168"/>
      <c r="H523" s="235"/>
      <c r="I523" s="235"/>
    </row>
    <row r="524" spans="1:9" s="149" customFormat="1" ht="13.5" customHeight="1">
      <c r="A524" s="184">
        <v>40541</v>
      </c>
      <c r="B524" s="123">
        <v>463</v>
      </c>
      <c r="C524" s="241" t="s">
        <v>34</v>
      </c>
      <c r="D524" s="149" t="s">
        <v>334</v>
      </c>
      <c r="E524" s="170">
        <v>3500</v>
      </c>
      <c r="F524" s="199"/>
      <c r="G524" s="200"/>
      <c r="H524" s="126"/>
      <c r="I524" s="126"/>
    </row>
    <row r="525" spans="1:11" s="110" customFormat="1" ht="12.75">
      <c r="A525" s="164">
        <v>40542</v>
      </c>
      <c r="B525" s="127">
        <v>464</v>
      </c>
      <c r="C525" s="131">
        <v>44</v>
      </c>
      <c r="D525" s="216" t="s">
        <v>1051</v>
      </c>
      <c r="E525" s="170">
        <v>-19500</v>
      </c>
      <c r="F525" s="190"/>
      <c r="G525" s="168"/>
      <c r="H525" s="235"/>
      <c r="I525" s="235"/>
      <c r="J525" s="129"/>
      <c r="K525" s="170"/>
    </row>
    <row r="526" spans="1:9" s="149" customFormat="1" ht="13.5" customHeight="1">
      <c r="A526" s="184">
        <v>40543</v>
      </c>
      <c r="B526" s="123">
        <v>465</v>
      </c>
      <c r="C526" s="241" t="s">
        <v>34</v>
      </c>
      <c r="D526" s="149" t="s">
        <v>335</v>
      </c>
      <c r="E526" s="170">
        <v>5500</v>
      </c>
      <c r="F526" s="199"/>
      <c r="G526" s="200"/>
      <c r="H526" s="126"/>
      <c r="I526" s="126"/>
    </row>
    <row r="527" spans="1:10" s="149" customFormat="1" ht="12.75">
      <c r="A527" s="184">
        <v>40543</v>
      </c>
      <c r="B527" s="264">
        <v>466</v>
      </c>
      <c r="C527" s="265" t="s">
        <v>41</v>
      </c>
      <c r="D527" s="266" t="s">
        <v>1053</v>
      </c>
      <c r="E527" s="170">
        <v>3250</v>
      </c>
      <c r="F527" s="199"/>
      <c r="G527" s="200"/>
      <c r="J527" s="201"/>
    </row>
    <row r="528" spans="1:8" ht="12.75">
      <c r="A528" s="164">
        <v>40543</v>
      </c>
      <c r="B528" s="1">
        <v>467</v>
      </c>
      <c r="C528" s="4">
        <v>55</v>
      </c>
      <c r="D528" s="216" t="s">
        <v>1063</v>
      </c>
      <c r="E528" s="171">
        <v>-40299.83</v>
      </c>
      <c r="F528" s="7"/>
      <c r="G528" s="60"/>
      <c r="H528" s="244"/>
    </row>
    <row r="529" spans="1:10" s="110" customFormat="1" ht="12.75">
      <c r="A529" s="164">
        <v>40543</v>
      </c>
      <c r="B529" s="127">
        <v>468</v>
      </c>
      <c r="C529" s="131" t="s">
        <v>114</v>
      </c>
      <c r="D529" s="149" t="s">
        <v>1064</v>
      </c>
      <c r="E529" s="170">
        <v>-100</v>
      </c>
      <c r="F529" s="190"/>
      <c r="G529" s="168"/>
      <c r="J529" s="129"/>
    </row>
    <row r="530" spans="1:7" s="126" customFormat="1" ht="12.75">
      <c r="A530" s="184">
        <v>40543</v>
      </c>
      <c r="B530" s="185">
        <v>469</v>
      </c>
      <c r="C530" s="247">
        <v>52</v>
      </c>
      <c r="D530" s="216" t="s">
        <v>1068</v>
      </c>
      <c r="E530" s="171">
        <v>-76</v>
      </c>
      <c r="F530" s="254"/>
      <c r="G530" s="255"/>
    </row>
    <row r="531" spans="1:10" s="149" customFormat="1" ht="12.75">
      <c r="A531" s="184">
        <v>40543</v>
      </c>
      <c r="B531" s="123">
        <v>470</v>
      </c>
      <c r="C531" s="188">
        <v>80</v>
      </c>
      <c r="D531" s="149" t="s">
        <v>1069</v>
      </c>
      <c r="E531" s="170">
        <v>82.65</v>
      </c>
      <c r="F531" s="199"/>
      <c r="G531" s="200"/>
      <c r="J531" s="201"/>
    </row>
    <row r="532" spans="1:10" s="110" customFormat="1" ht="12.75">
      <c r="A532" s="164">
        <v>40543</v>
      </c>
      <c r="B532" s="127">
        <v>471</v>
      </c>
      <c r="C532" s="188" t="s">
        <v>114</v>
      </c>
      <c r="D532" s="149" t="s">
        <v>1070</v>
      </c>
      <c r="E532" s="170">
        <v>385</v>
      </c>
      <c r="F532" s="190"/>
      <c r="G532" s="168"/>
      <c r="H532" s="149"/>
      <c r="J532" s="129"/>
    </row>
    <row r="533" spans="1:10" s="110" customFormat="1" ht="12.75">
      <c r="A533" s="164">
        <v>40543</v>
      </c>
      <c r="B533" s="127">
        <v>471</v>
      </c>
      <c r="C533" s="188">
        <v>52</v>
      </c>
      <c r="D533" s="149" t="s">
        <v>1070</v>
      </c>
      <c r="E533" s="170">
        <v>-385</v>
      </c>
      <c r="F533" s="190"/>
      <c r="G533" s="168"/>
      <c r="H533" s="149"/>
      <c r="J533" s="129"/>
    </row>
    <row r="534" spans="1:10" s="149" customFormat="1" ht="12.75">
      <c r="A534" s="184"/>
      <c r="B534" s="123"/>
      <c r="C534" s="131"/>
      <c r="D534" s="112"/>
      <c r="E534" s="111"/>
      <c r="F534" s="199"/>
      <c r="G534" s="200"/>
      <c r="J534" s="201"/>
    </row>
    <row r="535" spans="1:11" ht="12.75">
      <c r="A535" s="154" t="s">
        <v>289</v>
      </c>
      <c r="B535" s="155"/>
      <c r="C535" s="155"/>
      <c r="D535" s="161"/>
      <c r="E535" s="157">
        <f>SUM(E7:E534)</f>
        <v>34029.00000000002</v>
      </c>
      <c r="F535" s="157">
        <f>SUM(F7:F534)</f>
        <v>0</v>
      </c>
      <c r="G535" s="157">
        <f>SUM(E535:F535)</f>
        <v>34029.00000000002</v>
      </c>
      <c r="J535" s="9"/>
      <c r="K535" s="5"/>
    </row>
    <row r="536" spans="1:11" ht="12.75">
      <c r="A536" s="74"/>
      <c r="D536" s="160"/>
      <c r="G536" s="5"/>
      <c r="J536" s="9"/>
      <c r="K536" s="5"/>
    </row>
    <row r="537" spans="2:7" ht="12.75">
      <c r="B537" s="152"/>
      <c r="C537" s="152"/>
      <c r="D537" s="162"/>
      <c r="E537" s="153"/>
      <c r="F537" s="153"/>
      <c r="G537" s="246" t="s">
        <v>15</v>
      </c>
    </row>
    <row r="538" spans="1:11" ht="12.75">
      <c r="A538" s="151" t="s">
        <v>290</v>
      </c>
      <c r="G538" s="5">
        <f>G535-G7</f>
        <v>31273.540000000023</v>
      </c>
      <c r="J538" s="9"/>
      <c r="K538" s="5"/>
    </row>
    <row r="539" spans="7:11" ht="12.75">
      <c r="G539" s="5"/>
      <c r="I539" s="10"/>
      <c r="J539" s="9"/>
      <c r="K539" s="5"/>
    </row>
    <row r="540" spans="5:11" ht="12.75">
      <c r="E540" s="5">
        <f>E535</f>
        <v>34029.00000000002</v>
      </c>
      <c r="F540" s="5" t="s">
        <v>15</v>
      </c>
      <c r="G540" s="5"/>
      <c r="J540" s="9"/>
      <c r="K540" s="5"/>
    </row>
    <row r="541" spans="4:11" ht="12.75">
      <c r="D541" s="167"/>
      <c r="G541" s="5"/>
      <c r="J541" s="9"/>
      <c r="K541" s="5"/>
    </row>
    <row r="542" spans="7:11" ht="12.75">
      <c r="G542" s="5"/>
      <c r="H542" s="2" t="s">
        <v>15</v>
      </c>
      <c r="J542" s="9"/>
      <c r="K542" s="5"/>
    </row>
    <row r="543" spans="7:11" ht="12.75">
      <c r="G543" s="5"/>
      <c r="J543" s="9"/>
      <c r="K543" s="5"/>
    </row>
    <row r="544" spans="1:11" s="71" customFormat="1" ht="12.75">
      <c r="A544" s="20"/>
      <c r="B544" s="1"/>
      <c r="C544" s="1"/>
      <c r="D544" s="2"/>
      <c r="E544" s="5"/>
      <c r="F544" s="5"/>
      <c r="G544" s="5"/>
      <c r="H544" s="2"/>
      <c r="J544" s="108"/>
      <c r="K544" s="79"/>
    </row>
    <row r="545" spans="1:11" s="71" customFormat="1" ht="12.75">
      <c r="A545" s="176"/>
      <c r="B545" s="127"/>
      <c r="C545" s="127"/>
      <c r="D545" s="110"/>
      <c r="E545" s="128"/>
      <c r="F545" s="128"/>
      <c r="G545" s="128"/>
      <c r="H545" s="112"/>
      <c r="I545" s="112"/>
      <c r="J545" s="113"/>
      <c r="K545" s="79"/>
    </row>
    <row r="546" spans="1:11" s="71" customFormat="1" ht="12.75">
      <c r="A546" s="176"/>
      <c r="B546" s="127"/>
      <c r="C546" s="127"/>
      <c r="D546" s="110"/>
      <c r="E546" s="128"/>
      <c r="F546" s="128"/>
      <c r="G546" s="128"/>
      <c r="H546" s="112"/>
      <c r="I546" s="112"/>
      <c r="J546" s="113"/>
      <c r="K546" s="79"/>
    </row>
    <row r="547" spans="1:11" ht="12.75">
      <c r="A547" s="176"/>
      <c r="B547" s="127"/>
      <c r="C547" s="127"/>
      <c r="D547" s="110"/>
      <c r="E547" s="128"/>
      <c r="F547" s="128"/>
      <c r="G547" s="128"/>
      <c r="H547" s="110"/>
      <c r="I547" s="110"/>
      <c r="J547" s="129"/>
      <c r="K547" s="5"/>
    </row>
    <row r="548" spans="1:11" ht="12.75">
      <c r="A548" s="177"/>
      <c r="B548" s="127"/>
      <c r="C548" s="127"/>
      <c r="D548" s="110"/>
      <c r="E548" s="178"/>
      <c r="F548" s="128"/>
      <c r="G548" s="169"/>
      <c r="H548" s="110"/>
      <c r="I548" s="110"/>
      <c r="J548" s="129"/>
      <c r="K548" s="5"/>
    </row>
    <row r="549" spans="1:11" ht="12.75">
      <c r="A549" s="176"/>
      <c r="B549" s="127"/>
      <c r="C549" s="127"/>
      <c r="D549" s="110"/>
      <c r="E549" s="128"/>
      <c r="F549" s="128"/>
      <c r="G549" s="128"/>
      <c r="H549" s="110"/>
      <c r="I549" s="110"/>
      <c r="J549" s="129"/>
      <c r="K549" s="5"/>
    </row>
    <row r="550" spans="1:11" ht="12.75">
      <c r="A550" s="176"/>
      <c r="B550" s="127"/>
      <c r="C550" s="127"/>
      <c r="D550" s="110"/>
      <c r="E550" s="128"/>
      <c r="F550" s="128"/>
      <c r="G550" s="128"/>
      <c r="H550" s="110"/>
      <c r="I550" s="110"/>
      <c r="J550" s="129"/>
      <c r="K550" s="5"/>
    </row>
    <row r="551" spans="1:11" ht="12.75">
      <c r="A551" s="176"/>
      <c r="B551" s="127"/>
      <c r="C551" s="127"/>
      <c r="D551" s="110"/>
      <c r="E551" s="128"/>
      <c r="F551" s="128"/>
      <c r="G551" s="128"/>
      <c r="H551" s="110"/>
      <c r="I551" s="110"/>
      <c r="J551" s="129"/>
      <c r="K551" s="5"/>
    </row>
    <row r="552" spans="1:11" ht="12.75">
      <c r="A552" s="176"/>
      <c r="B552" s="127"/>
      <c r="C552" s="127"/>
      <c r="D552" s="179"/>
      <c r="E552" s="128"/>
      <c r="F552" s="128"/>
      <c r="G552" s="128"/>
      <c r="H552" s="110"/>
      <c r="I552" s="110"/>
      <c r="J552" s="129"/>
      <c r="K552" s="5"/>
    </row>
    <row r="553" spans="1:10" ht="12.75">
      <c r="A553" s="176"/>
      <c r="B553" s="127"/>
      <c r="C553" s="127"/>
      <c r="D553" s="180"/>
      <c r="E553" s="128"/>
      <c r="F553" s="128"/>
      <c r="G553" s="127"/>
      <c r="H553" s="110"/>
      <c r="I553" s="110"/>
      <c r="J553" s="110"/>
    </row>
    <row r="554" spans="1:10" ht="12.75">
      <c r="A554" s="176"/>
      <c r="B554" s="127"/>
      <c r="C554" s="127"/>
      <c r="D554" s="180"/>
      <c r="E554" s="128"/>
      <c r="F554" s="128"/>
      <c r="G554" s="127"/>
      <c r="H554" s="110"/>
      <c r="I554" s="110"/>
      <c r="J554" s="110"/>
    </row>
    <row r="555" spans="1:11" ht="12.75">
      <c r="A555" s="176"/>
      <c r="B555" s="127"/>
      <c r="C555" s="127"/>
      <c r="D555" s="110"/>
      <c r="E555" s="128"/>
      <c r="F555" s="128"/>
      <c r="G555" s="129"/>
      <c r="H555" s="110"/>
      <c r="I555" s="110"/>
      <c r="J555" s="129"/>
      <c r="K555" s="5"/>
    </row>
    <row r="556" spans="1:11" ht="12.75">
      <c r="A556" s="176"/>
      <c r="B556" s="127"/>
      <c r="C556" s="127"/>
      <c r="D556" s="110"/>
      <c r="E556" s="128"/>
      <c r="F556" s="129"/>
      <c r="G556" s="129"/>
      <c r="H556" s="110"/>
      <c r="I556" s="110"/>
      <c r="J556" s="129"/>
      <c r="K556" s="5"/>
    </row>
    <row r="557" spans="1:11" ht="12.75">
      <c r="A557" s="176"/>
      <c r="B557" s="127"/>
      <c r="C557" s="127"/>
      <c r="D557" s="110"/>
      <c r="E557" s="128"/>
      <c r="F557" s="128"/>
      <c r="G557" s="127"/>
      <c r="H557" s="110"/>
      <c r="I557" s="110"/>
      <c r="J557" s="129"/>
      <c r="K557" s="5"/>
    </row>
    <row r="558" spans="8:11" ht="12.75">
      <c r="H558" s="2" t="s">
        <v>15</v>
      </c>
      <c r="J558" s="9"/>
      <c r="K558" s="5"/>
    </row>
    <row r="559" spans="8:11" ht="12.75">
      <c r="H559" s="2" t="s">
        <v>15</v>
      </c>
      <c r="J559" s="9"/>
      <c r="K559" s="5"/>
    </row>
    <row r="560" spans="8:11" ht="12.75">
      <c r="H560" s="2" t="s">
        <v>15</v>
      </c>
      <c r="J560" s="9"/>
      <c r="K560" s="5"/>
    </row>
    <row r="561" spans="7:11" ht="12.75">
      <c r="G561" s="9"/>
      <c r="H561" s="2" t="s">
        <v>15</v>
      </c>
      <c r="J561" s="9"/>
      <c r="K561" s="5"/>
    </row>
    <row r="562" spans="8:11" ht="12.75">
      <c r="H562" s="2" t="s">
        <v>15</v>
      </c>
      <c r="J562" s="9"/>
      <c r="K562" s="5"/>
    </row>
    <row r="563" spans="8:11" ht="12.75">
      <c r="H563" s="2" t="s">
        <v>15</v>
      </c>
      <c r="J563" s="9"/>
      <c r="K563" s="5"/>
    </row>
    <row r="564" spans="8:11" ht="12.75">
      <c r="H564" s="2" t="s">
        <v>15</v>
      </c>
      <c r="J564" s="9"/>
      <c r="K564" s="5"/>
    </row>
    <row r="565" spans="8:11" ht="12.75">
      <c r="H565" s="2" t="s">
        <v>15</v>
      </c>
      <c r="J565" s="9"/>
      <c r="K565" s="5"/>
    </row>
    <row r="566" spans="8:11" ht="12.75">
      <c r="H566" s="2" t="s">
        <v>15</v>
      </c>
      <c r="J566" s="9"/>
      <c r="K566" s="5"/>
    </row>
    <row r="567" spans="8:11" ht="12.75">
      <c r="H567" s="2" t="s">
        <v>15</v>
      </c>
      <c r="J567" s="9"/>
      <c r="K567" s="5"/>
    </row>
    <row r="568" spans="8:11" ht="12.75">
      <c r="H568" s="2" t="s">
        <v>15</v>
      </c>
      <c r="J568" s="9"/>
      <c r="K568" s="5"/>
    </row>
    <row r="569" spans="8:11" ht="12.75">
      <c r="H569" s="2" t="s">
        <v>15</v>
      </c>
      <c r="J569" s="9"/>
      <c r="K569" s="5"/>
    </row>
    <row r="570" spans="8:11" ht="12.75">
      <c r="H570" s="2" t="s">
        <v>15</v>
      </c>
      <c r="J570" s="9"/>
      <c r="K570" s="5"/>
    </row>
    <row r="571" spans="8:11" ht="12.75">
      <c r="H571" s="2" t="s">
        <v>15</v>
      </c>
      <c r="J571" s="9"/>
      <c r="K571" s="5"/>
    </row>
    <row r="572" spans="7:11" ht="12.75">
      <c r="G572" s="9"/>
      <c r="H572" s="2" t="s">
        <v>15</v>
      </c>
      <c r="J572" s="9"/>
      <c r="K572" s="5"/>
    </row>
    <row r="573" spans="8:11" ht="12.75">
      <c r="H573" s="2" t="s">
        <v>15</v>
      </c>
      <c r="J573" s="9"/>
      <c r="K573" s="5"/>
    </row>
    <row r="574" spans="7:11" ht="12.75">
      <c r="G574" s="1" t="s">
        <v>15</v>
      </c>
      <c r="H574" s="2" t="s">
        <v>15</v>
      </c>
      <c r="J574" s="9"/>
      <c r="K574" s="5"/>
    </row>
    <row r="575" spans="10:11" ht="12.75">
      <c r="J575" s="9"/>
      <c r="K575" s="5"/>
    </row>
    <row r="576" spans="8:11" ht="12.75">
      <c r="H576" s="2" t="s">
        <v>15</v>
      </c>
      <c r="J576" s="9"/>
      <c r="K576" s="5"/>
    </row>
    <row r="577" spans="8:11" ht="12.75">
      <c r="H577" s="2" t="s">
        <v>15</v>
      </c>
      <c r="J577" s="9"/>
      <c r="K577" s="5"/>
    </row>
    <row r="578" spans="8:11" ht="12.75">
      <c r="H578" s="2" t="s">
        <v>15</v>
      </c>
      <c r="J578" s="9"/>
      <c r="K578" s="5"/>
    </row>
    <row r="579" spans="10:11" ht="12.75">
      <c r="J579" s="9"/>
      <c r="K579" s="5"/>
    </row>
    <row r="580" spans="10:11" ht="12.75">
      <c r="J580" s="9"/>
      <c r="K580" s="5"/>
    </row>
    <row r="581" spans="8:11" ht="12.75">
      <c r="H581" s="2" t="s">
        <v>15</v>
      </c>
      <c r="J581" s="9"/>
      <c r="K581" s="5"/>
    </row>
    <row r="582" spans="8:11" ht="12.75">
      <c r="H582" s="2" t="s">
        <v>15</v>
      </c>
      <c r="J582" s="9"/>
      <c r="K582" s="5"/>
    </row>
    <row r="583" spans="8:11" ht="12.75">
      <c r="H583" s="2" t="s">
        <v>15</v>
      </c>
      <c r="J583" s="9"/>
      <c r="K583" s="5"/>
    </row>
    <row r="584" spans="10:11" ht="12.75">
      <c r="J584" s="9"/>
      <c r="K584" s="5"/>
    </row>
    <row r="585" spans="1:11" s="71" customFormat="1" ht="12.75">
      <c r="A585" s="20"/>
      <c r="B585" s="1"/>
      <c r="C585" s="1"/>
      <c r="D585" s="2"/>
      <c r="E585" s="5"/>
      <c r="F585" s="5"/>
      <c r="G585" s="9"/>
      <c r="J585" s="108"/>
      <c r="K585" s="79"/>
    </row>
    <row r="586" spans="10:11" ht="12.75">
      <c r="J586" s="9"/>
      <c r="K586" s="5"/>
    </row>
    <row r="587" spans="10:11" ht="12.75">
      <c r="J587" s="9"/>
      <c r="K587" s="5"/>
    </row>
    <row r="588" spans="8:11" ht="12.75">
      <c r="H588" s="2" t="s">
        <v>15</v>
      </c>
      <c r="J588" s="9"/>
      <c r="K588" s="5"/>
    </row>
    <row r="589" spans="8:11" ht="12.75">
      <c r="H589" s="2" t="s">
        <v>15</v>
      </c>
      <c r="J589" s="9"/>
      <c r="K589" s="5"/>
    </row>
    <row r="591" spans="8:11" ht="12.75">
      <c r="H591" s="2" t="s">
        <v>15</v>
      </c>
      <c r="J591" s="9"/>
      <c r="K591" s="5"/>
    </row>
    <row r="592" spans="10:11" ht="12.75">
      <c r="J592" s="9"/>
      <c r="K592" s="5"/>
    </row>
    <row r="593" spans="8:11" ht="12.75">
      <c r="H593" s="2" t="s">
        <v>15</v>
      </c>
      <c r="J593" s="9"/>
      <c r="K593" s="5"/>
    </row>
    <row r="594" spans="10:11" ht="12.75">
      <c r="J594" s="9"/>
      <c r="K594" s="5"/>
    </row>
    <row r="595" spans="10:11" ht="12.75">
      <c r="J595" s="9"/>
      <c r="K595" s="5"/>
    </row>
    <row r="596" spans="10:11" ht="12.75">
      <c r="J596" s="9"/>
      <c r="K596" s="5"/>
    </row>
    <row r="597" spans="8:11" ht="12.75">
      <c r="H597" s="2" t="s">
        <v>15</v>
      </c>
      <c r="J597" s="9"/>
      <c r="K597" s="5"/>
    </row>
    <row r="598" spans="8:11" ht="12.75">
      <c r="H598" s="2" t="s">
        <v>15</v>
      </c>
      <c r="J598" s="9"/>
      <c r="K598" s="5"/>
    </row>
    <row r="599" spans="10:11" ht="12.75">
      <c r="J599" s="9"/>
      <c r="K599" s="5"/>
    </row>
    <row r="600" spans="10:11" ht="12.75">
      <c r="J600" s="9"/>
      <c r="K600" s="5"/>
    </row>
    <row r="601" spans="8:11" ht="12.75">
      <c r="H601" s="2" t="s">
        <v>15</v>
      </c>
      <c r="J601" s="9"/>
      <c r="K601" s="5"/>
    </row>
    <row r="602" spans="8:11" ht="12.75">
      <c r="H602" s="2" t="s">
        <v>15</v>
      </c>
      <c r="J602" s="9"/>
      <c r="K602" s="5"/>
    </row>
    <row r="603" spans="8:11" ht="12.75">
      <c r="H603" s="2" t="s">
        <v>15</v>
      </c>
      <c r="J603" s="9"/>
      <c r="K603" s="5"/>
    </row>
    <row r="604" spans="10:11" ht="12.75">
      <c r="J604" s="9"/>
      <c r="K604" s="5"/>
    </row>
    <row r="605" spans="8:11" ht="12.75">
      <c r="H605" s="2" t="s">
        <v>15</v>
      </c>
      <c r="J605" s="9"/>
      <c r="K605" s="5"/>
    </row>
    <row r="606" spans="10:11" ht="12.75">
      <c r="J606" s="9"/>
      <c r="K606" s="5"/>
    </row>
    <row r="607" spans="10:11" ht="12.75">
      <c r="J607" s="9"/>
      <c r="K607" s="5"/>
    </row>
    <row r="608" spans="7:11" ht="12.75">
      <c r="G608" s="9"/>
      <c r="H608" s="2" t="s">
        <v>15</v>
      </c>
      <c r="J608" s="9"/>
      <c r="K608" s="5"/>
    </row>
    <row r="609" spans="10:11" ht="12.75">
      <c r="J609" s="9"/>
      <c r="K609" s="5"/>
    </row>
    <row r="610" spans="8:11" ht="12.75">
      <c r="H610" s="2" t="s">
        <v>15</v>
      </c>
      <c r="J610" s="9"/>
      <c r="K610" s="5"/>
    </row>
    <row r="611" spans="8:11" ht="12.75">
      <c r="H611" s="2" t="s">
        <v>15</v>
      </c>
      <c r="J611" s="9"/>
      <c r="K611" s="5"/>
    </row>
    <row r="612" spans="10:11" ht="12.75">
      <c r="J612" s="9"/>
      <c r="K612" s="5"/>
    </row>
    <row r="613" spans="10:11" ht="12.75">
      <c r="J613" s="9"/>
      <c r="K613" s="5"/>
    </row>
    <row r="614" spans="8:11" ht="12.75">
      <c r="H614" s="2" t="s">
        <v>15</v>
      </c>
      <c r="J614" s="9"/>
      <c r="K614" s="5"/>
    </row>
    <row r="615" spans="8:11" ht="12.75">
      <c r="H615" s="2" t="s">
        <v>15</v>
      </c>
      <c r="J615" s="9"/>
      <c r="K615" s="5"/>
    </row>
    <row r="616" spans="10:11" ht="12.75">
      <c r="J616" s="9"/>
      <c r="K616" s="5"/>
    </row>
    <row r="617" spans="3:11" ht="12.75">
      <c r="C617" s="24"/>
      <c r="G617" s="9"/>
      <c r="H617" s="2" t="s">
        <v>15</v>
      </c>
      <c r="J617" s="9"/>
      <c r="K617" s="5"/>
    </row>
    <row r="618" spans="10:11" ht="12.75">
      <c r="J618" s="9"/>
      <c r="K618" s="5"/>
    </row>
    <row r="619" spans="10:11" ht="12.75">
      <c r="J619" s="9"/>
      <c r="K619" s="5"/>
    </row>
    <row r="620" spans="8:11" ht="12.75">
      <c r="H620" s="2" t="s">
        <v>15</v>
      </c>
      <c r="J620" s="9"/>
      <c r="K620" s="5"/>
    </row>
    <row r="621" spans="10:11" ht="12.75">
      <c r="J621" s="9"/>
      <c r="K621" s="5"/>
    </row>
    <row r="622" spans="10:11" ht="12.75">
      <c r="J622" s="9"/>
      <c r="K622" s="5"/>
    </row>
    <row r="623" spans="10:11" ht="12.75">
      <c r="J623" s="9"/>
      <c r="K623" s="5"/>
    </row>
    <row r="624" spans="1:11" s="110" customFormat="1" ht="12.75">
      <c r="A624" s="20"/>
      <c r="B624" s="1"/>
      <c r="C624" s="1"/>
      <c r="D624" s="2"/>
      <c r="E624" s="5"/>
      <c r="F624" s="5"/>
      <c r="G624" s="1"/>
      <c r="J624" s="129"/>
      <c r="K624" s="128"/>
    </row>
    <row r="625" spans="8:11" ht="12.75">
      <c r="H625" s="2" t="s">
        <v>15</v>
      </c>
      <c r="J625" s="9"/>
      <c r="K625" s="5"/>
    </row>
    <row r="626" spans="8:11" ht="12.75">
      <c r="H626" s="2" t="s">
        <v>15</v>
      </c>
      <c r="J626" s="9"/>
      <c r="K626" s="5"/>
    </row>
    <row r="627" spans="1:11" s="71" customFormat="1" ht="12.75">
      <c r="A627" s="20"/>
      <c r="B627" s="1"/>
      <c r="C627" s="1"/>
      <c r="D627" s="2"/>
      <c r="E627" s="5"/>
      <c r="F627" s="5"/>
      <c r="G627" s="1"/>
      <c r="J627" s="108"/>
      <c r="K627" s="79"/>
    </row>
    <row r="630" spans="10:11" ht="12.75">
      <c r="J630" s="9"/>
      <c r="K630" s="5"/>
    </row>
    <row r="631" spans="7:11" ht="12.75">
      <c r="G631" s="9"/>
      <c r="J631" s="9"/>
      <c r="K631" s="5"/>
    </row>
    <row r="632" spans="10:11" ht="12.75">
      <c r="J632" s="9"/>
      <c r="K632" s="5"/>
    </row>
    <row r="633" spans="8:11" ht="12.75">
      <c r="H633" s="2" t="s">
        <v>15</v>
      </c>
      <c r="J633" s="9"/>
      <c r="K633" s="5"/>
    </row>
    <row r="634" spans="8:11" ht="12.75">
      <c r="H634" s="2" t="s">
        <v>15</v>
      </c>
      <c r="J634" s="9"/>
      <c r="K634" s="5"/>
    </row>
    <row r="635" spans="10:11" ht="12.75">
      <c r="J635" s="9"/>
      <c r="K635" s="5"/>
    </row>
    <row r="636" spans="10:11" ht="12.75">
      <c r="J636" s="9"/>
      <c r="K636" s="5"/>
    </row>
    <row r="637" spans="10:11" ht="12.75">
      <c r="J637" s="9"/>
      <c r="K637" s="5"/>
    </row>
    <row r="638" spans="10:11" ht="12.75">
      <c r="J638" s="9"/>
      <c r="K638" s="5"/>
    </row>
    <row r="639" spans="10:11" ht="12.75">
      <c r="J639" s="9"/>
      <c r="K639" s="5"/>
    </row>
    <row r="640" spans="8:11" ht="12.75">
      <c r="H640" s="2" t="s">
        <v>15</v>
      </c>
      <c r="J640" s="9"/>
      <c r="K640" s="5"/>
    </row>
    <row r="641" spans="7:11" ht="12.75">
      <c r="G641" s="9"/>
      <c r="H641" s="2" t="s">
        <v>15</v>
      </c>
      <c r="J641" s="9"/>
      <c r="K641" s="5"/>
    </row>
    <row r="642" spans="10:11" ht="12.75">
      <c r="J642" s="9"/>
      <c r="K642" s="5"/>
    </row>
    <row r="643" spans="10:11" ht="12.75">
      <c r="J643" s="9"/>
      <c r="K643" s="5"/>
    </row>
    <row r="644" spans="10:11" ht="12.75">
      <c r="J644" s="9"/>
      <c r="K644" s="5"/>
    </row>
    <row r="645" spans="10:11" ht="12.75">
      <c r="J645" s="9"/>
      <c r="K645" s="5"/>
    </row>
    <row r="646" spans="10:11" ht="12.75">
      <c r="J646" s="9"/>
      <c r="K646" s="5"/>
    </row>
    <row r="647" spans="1:11" s="110" customFormat="1" ht="12.75">
      <c r="A647" s="20"/>
      <c r="B647" s="1"/>
      <c r="C647" s="1"/>
      <c r="D647" s="2"/>
      <c r="E647" s="5"/>
      <c r="F647" s="5"/>
      <c r="G647" s="1"/>
      <c r="J647" s="129"/>
      <c r="K647" s="128"/>
    </row>
    <row r="648" spans="10:11" ht="12.75">
      <c r="J648" s="9"/>
      <c r="K648" s="5"/>
    </row>
    <row r="649" spans="10:11" ht="12.75">
      <c r="J649" s="9"/>
      <c r="K649" s="5"/>
    </row>
    <row r="651" spans="8:11" ht="12.75">
      <c r="H651" s="2" t="s">
        <v>15</v>
      </c>
      <c r="J651" s="9"/>
      <c r="K651" s="5"/>
    </row>
    <row r="652" spans="7:11" ht="12.75">
      <c r="G652" s="9"/>
      <c r="J652" s="9"/>
      <c r="K652" s="5"/>
    </row>
    <row r="653" spans="10:11" ht="12.75">
      <c r="J653" s="9"/>
      <c r="K653" s="5"/>
    </row>
    <row r="654" spans="10:11" ht="12.75">
      <c r="J654" s="9"/>
      <c r="K654" s="5"/>
    </row>
    <row r="655" spans="10:11" ht="12.75">
      <c r="J655" s="9"/>
      <c r="K655" s="5"/>
    </row>
    <row r="656" spans="10:11" ht="12.75">
      <c r="J656" s="9"/>
      <c r="K656" s="5"/>
    </row>
    <row r="657" spans="10:11" ht="12.75">
      <c r="J657" s="9"/>
      <c r="K657" s="5"/>
    </row>
    <row r="658" spans="8:11" ht="12.75">
      <c r="H658" s="2" t="s">
        <v>15</v>
      </c>
      <c r="J658" s="9"/>
      <c r="K658" s="5"/>
    </row>
    <row r="659" spans="10:11" ht="12.75">
      <c r="J659" s="9"/>
      <c r="K659" s="5"/>
    </row>
    <row r="660" spans="10:11" ht="12.75">
      <c r="J660" s="9"/>
      <c r="K660" s="5"/>
    </row>
    <row r="661" spans="1:11" s="71" customFormat="1" ht="12.75">
      <c r="A661" s="20"/>
      <c r="B661" s="1"/>
      <c r="C661" s="1"/>
      <c r="D661" s="2"/>
      <c r="E661" s="5"/>
      <c r="F661" s="5"/>
      <c r="G661" s="1"/>
      <c r="J661" s="108"/>
      <c r="K661" s="79"/>
    </row>
    <row r="662" spans="1:11" s="71" customFormat="1" ht="12.75">
      <c r="A662" s="20"/>
      <c r="B662" s="1"/>
      <c r="C662" s="1"/>
      <c r="D662" s="2"/>
      <c r="E662" s="5"/>
      <c r="F662" s="9"/>
      <c r="G662" s="9"/>
      <c r="J662" s="108"/>
      <c r="K662" s="79"/>
    </row>
    <row r="663" spans="1:11" s="112" customFormat="1" ht="12.75">
      <c r="A663" s="20"/>
      <c r="B663" s="1"/>
      <c r="C663" s="1"/>
      <c r="D663" s="2"/>
      <c r="E663" s="5"/>
      <c r="F663" s="9"/>
      <c r="G663" s="1"/>
      <c r="J663" s="113"/>
      <c r="K663" s="111"/>
    </row>
    <row r="664" spans="8:11" ht="12.75">
      <c r="H664" s="2" t="s">
        <v>15</v>
      </c>
      <c r="J664" s="9"/>
      <c r="K664" s="5"/>
    </row>
    <row r="665" spans="10:11" ht="12.75">
      <c r="J665" s="9"/>
      <c r="K665" s="5"/>
    </row>
    <row r="666" spans="8:11" ht="12.75">
      <c r="H666" s="2" t="s">
        <v>15</v>
      </c>
      <c r="J666" s="9"/>
      <c r="K666" s="5"/>
    </row>
    <row r="667" spans="8:11" ht="12.75">
      <c r="H667" s="2" t="s">
        <v>15</v>
      </c>
      <c r="J667" s="9"/>
      <c r="K667" s="5"/>
    </row>
    <row r="668" spans="10:11" ht="12.75">
      <c r="J668" s="9"/>
      <c r="K668" s="5"/>
    </row>
    <row r="669" spans="10:11" ht="12.75">
      <c r="J669" s="9"/>
      <c r="K669" s="5"/>
    </row>
    <row r="670" spans="1:11" s="71" customFormat="1" ht="12.75">
      <c r="A670" s="20"/>
      <c r="B670" s="1"/>
      <c r="C670" s="1"/>
      <c r="D670" s="2"/>
      <c r="E670" s="5"/>
      <c r="F670" s="5"/>
      <c r="G670" s="1"/>
      <c r="J670" s="108"/>
      <c r="K670" s="79"/>
    </row>
    <row r="671" spans="7:11" ht="12.75">
      <c r="G671" s="9"/>
      <c r="H671" s="2" t="s">
        <v>15</v>
      </c>
      <c r="J671" s="9"/>
      <c r="K671" s="5"/>
    </row>
    <row r="672" spans="8:11" ht="12.75">
      <c r="H672" s="2" t="s">
        <v>15</v>
      </c>
      <c r="J672" s="9"/>
      <c r="K672" s="5"/>
    </row>
    <row r="673" spans="8:11" ht="12.75">
      <c r="H673" s="2" t="s">
        <v>15</v>
      </c>
      <c r="J673" s="9"/>
      <c r="K673" s="5"/>
    </row>
    <row r="674" spans="10:11" ht="12.75">
      <c r="J674" s="9"/>
      <c r="K674" s="5"/>
    </row>
    <row r="676" spans="6:11" ht="12.75">
      <c r="F676" s="9"/>
      <c r="J676" s="9"/>
      <c r="K676" s="5"/>
    </row>
    <row r="677" spans="6:11" ht="12.75">
      <c r="F677" s="9"/>
      <c r="J677" s="9"/>
      <c r="K677" s="5"/>
    </row>
    <row r="678" spans="6:11" ht="12.75">
      <c r="F678" s="9"/>
      <c r="G678" s="9"/>
      <c r="H678" s="2" t="s">
        <v>15</v>
      </c>
      <c r="J678" s="9"/>
      <c r="K678" s="5"/>
    </row>
    <row r="679" spans="8:11" ht="12.75">
      <c r="H679" s="2" t="s">
        <v>15</v>
      </c>
      <c r="J679" s="9"/>
      <c r="K679" s="5"/>
    </row>
    <row r="680" spans="10:11" ht="12.75">
      <c r="J680" s="9"/>
      <c r="K680" s="5"/>
    </row>
    <row r="681" spans="7:11" ht="12.75">
      <c r="G681" s="9"/>
      <c r="H681" s="2" t="s">
        <v>15</v>
      </c>
      <c r="J681" s="9"/>
      <c r="K681" s="5"/>
    </row>
    <row r="682" spans="1:11" s="71" customFormat="1" ht="12.75">
      <c r="A682" s="20"/>
      <c r="B682" s="1"/>
      <c r="C682" s="1"/>
      <c r="D682" s="2"/>
      <c r="E682" s="5"/>
      <c r="F682" s="5"/>
      <c r="G682" s="1"/>
      <c r="J682" s="108"/>
      <c r="K682" s="79"/>
    </row>
    <row r="683" spans="1:11" s="71" customFormat="1" ht="12.75">
      <c r="A683" s="20"/>
      <c r="B683" s="1"/>
      <c r="C683" s="1"/>
      <c r="D683" s="2"/>
      <c r="E683" s="5"/>
      <c r="F683" s="5"/>
      <c r="G683" s="9"/>
      <c r="J683" s="108"/>
      <c r="K683" s="79"/>
    </row>
    <row r="684" spans="8:11" ht="12.75">
      <c r="H684" s="2" t="s">
        <v>15</v>
      </c>
      <c r="J684" s="9"/>
      <c r="K684" s="5"/>
    </row>
    <row r="685" spans="10:11" ht="12.75">
      <c r="J685" s="9"/>
      <c r="K685" s="5"/>
    </row>
    <row r="686" spans="10:11" ht="12.75">
      <c r="J686" s="9"/>
      <c r="K686" s="5"/>
    </row>
    <row r="687" spans="10:11" ht="12.75">
      <c r="J687" s="9"/>
      <c r="K687" s="5"/>
    </row>
    <row r="688" spans="4:11" ht="12.75">
      <c r="D688" s="60"/>
      <c r="J688" s="9"/>
      <c r="K688" s="5"/>
    </row>
    <row r="689" spans="10:11" ht="12.75">
      <c r="J689" s="9"/>
      <c r="K689" s="5"/>
    </row>
    <row r="690" spans="8:11" ht="12.75">
      <c r="H690" s="2" t="s">
        <v>15</v>
      </c>
      <c r="J690" s="9"/>
      <c r="K690" s="5"/>
    </row>
    <row r="691" spans="10:11" ht="12.75">
      <c r="J691" s="9"/>
      <c r="K691" s="5"/>
    </row>
    <row r="692" spans="1:11" s="110" customFormat="1" ht="12.75">
      <c r="A692" s="20"/>
      <c r="B692" s="1"/>
      <c r="C692" s="1"/>
      <c r="D692" s="2"/>
      <c r="E692" s="5"/>
      <c r="F692" s="5"/>
      <c r="G692" s="1"/>
      <c r="J692" s="129"/>
      <c r="K692" s="128"/>
    </row>
    <row r="693" spans="1:11" s="71" customFormat="1" ht="12.75">
      <c r="A693" s="20"/>
      <c r="B693" s="1"/>
      <c r="C693" s="1"/>
      <c r="D693" s="2"/>
      <c r="E693" s="5"/>
      <c r="F693" s="5"/>
      <c r="G693" s="1"/>
      <c r="J693" s="108"/>
      <c r="K693" s="79"/>
    </row>
    <row r="694" spans="10:11" ht="12.75">
      <c r="J694" s="9"/>
      <c r="K694" s="5"/>
    </row>
    <row r="695" spans="10:11" ht="12.75">
      <c r="J695" s="9"/>
      <c r="K695" s="5"/>
    </row>
    <row r="696" spans="7:11" ht="12.75">
      <c r="G696" s="9"/>
      <c r="J696" s="9"/>
      <c r="K696" s="5"/>
    </row>
    <row r="698" spans="1:11" s="112" customFormat="1" ht="12.75">
      <c r="A698" s="20"/>
      <c r="B698" s="1"/>
      <c r="C698" s="1"/>
      <c r="D698" s="2"/>
      <c r="E698" s="5"/>
      <c r="F698" s="5"/>
      <c r="G698" s="9"/>
      <c r="J698" s="113"/>
      <c r="K698" s="111"/>
    </row>
    <row r="699" spans="10:11" ht="12.75">
      <c r="J699" s="9"/>
      <c r="K699" s="5"/>
    </row>
    <row r="700" spans="10:11" ht="12.75">
      <c r="J700" s="9"/>
      <c r="K700" s="5"/>
    </row>
    <row r="701" spans="10:11" ht="12.75">
      <c r="J701" s="9"/>
      <c r="K701" s="5"/>
    </row>
    <row r="702" spans="10:11" ht="12.75">
      <c r="J702" s="9"/>
      <c r="K702" s="5"/>
    </row>
    <row r="703" spans="10:11" ht="12.75">
      <c r="J703" s="9"/>
      <c r="K703" s="5"/>
    </row>
    <row r="704" spans="10:11" ht="12.75">
      <c r="J704" s="9"/>
      <c r="K704" s="5"/>
    </row>
    <row r="705" spans="10:11" ht="12.75">
      <c r="J705" s="9"/>
      <c r="K705" s="5"/>
    </row>
    <row r="706" spans="10:11" ht="12.75">
      <c r="J706" s="9"/>
      <c r="K706" s="5"/>
    </row>
    <row r="707" spans="10:11" ht="12.75">
      <c r="J707" s="9"/>
      <c r="K707" s="5"/>
    </row>
    <row r="708" spans="10:11" ht="12.75">
      <c r="J708" s="9"/>
      <c r="K708" s="5"/>
    </row>
    <row r="709" spans="10:11" ht="12.75">
      <c r="J709" s="9"/>
      <c r="K709" s="5"/>
    </row>
    <row r="710" spans="10:11" ht="12.75">
      <c r="J710" s="9"/>
      <c r="K710" s="5"/>
    </row>
    <row r="711" spans="10:11" ht="12.75">
      <c r="J711" s="9"/>
      <c r="K711" s="5"/>
    </row>
    <row r="712" spans="10:11" ht="12.75">
      <c r="J712" s="9"/>
      <c r="K712" s="5"/>
    </row>
    <row r="713" spans="10:11" ht="12.75">
      <c r="J713" s="9"/>
      <c r="K713" s="5"/>
    </row>
    <row r="714" spans="1:11" s="112" customFormat="1" ht="12.75">
      <c r="A714" s="20"/>
      <c r="B714" s="1"/>
      <c r="C714" s="1"/>
      <c r="D714" s="2"/>
      <c r="E714" s="5"/>
      <c r="F714" s="5"/>
      <c r="G714" s="1"/>
      <c r="J714" s="113"/>
      <c r="K714" s="111"/>
    </row>
    <row r="715" spans="10:11" ht="12.75">
      <c r="J715" s="9"/>
      <c r="K715" s="5"/>
    </row>
    <row r="716" spans="10:11" ht="12.75">
      <c r="J716" s="9"/>
      <c r="K716" s="5"/>
    </row>
    <row r="717" spans="7:11" ht="12.75">
      <c r="G717" s="9"/>
      <c r="J717" s="9"/>
      <c r="K717" s="5"/>
    </row>
    <row r="718" spans="10:11" ht="12.75">
      <c r="J718" s="9"/>
      <c r="K718" s="5"/>
    </row>
    <row r="719" spans="10:11" ht="12.75">
      <c r="J719" s="9"/>
      <c r="K719" s="5"/>
    </row>
    <row r="720" spans="10:11" ht="12.75">
      <c r="J720" s="9"/>
      <c r="K720" s="5"/>
    </row>
    <row r="721" spans="8:11" ht="12.75">
      <c r="H721" s="2" t="s">
        <v>15</v>
      </c>
      <c r="J721" s="9"/>
      <c r="K721" s="5"/>
    </row>
    <row r="722" spans="8:11" ht="12.75">
      <c r="H722" s="2" t="s">
        <v>15</v>
      </c>
      <c r="J722" s="9"/>
      <c r="K722" s="5"/>
    </row>
    <row r="723" spans="10:11" ht="12.75">
      <c r="J723" s="9"/>
      <c r="K723" s="5"/>
    </row>
    <row r="724" spans="10:11" ht="12.75">
      <c r="J724" s="9"/>
      <c r="K724" s="5"/>
    </row>
    <row r="725" spans="7:11" ht="12.75">
      <c r="G725" s="9"/>
      <c r="J725" s="9"/>
      <c r="K725" s="5"/>
    </row>
    <row r="726" spans="10:11" ht="12.75">
      <c r="J726" s="9"/>
      <c r="K726" s="5"/>
    </row>
    <row r="727" spans="10:11" ht="12.75">
      <c r="J727" s="9"/>
      <c r="K727" s="5"/>
    </row>
    <row r="728" spans="10:11" ht="12.75">
      <c r="J728" s="9"/>
      <c r="K728" s="5"/>
    </row>
    <row r="729" spans="10:11" ht="12.75">
      <c r="J729" s="9"/>
      <c r="K729" s="5"/>
    </row>
    <row r="730" spans="8:11" ht="12.75">
      <c r="H730" s="2" t="s">
        <v>15</v>
      </c>
      <c r="J730" s="9"/>
      <c r="K730" s="5"/>
    </row>
    <row r="731" spans="10:11" ht="12.75">
      <c r="J731" s="9"/>
      <c r="K731" s="5"/>
    </row>
    <row r="732" spans="3:11" ht="12.75">
      <c r="C732" s="24"/>
      <c r="J732" s="9"/>
      <c r="K732" s="5"/>
    </row>
    <row r="733" spans="10:11" ht="12.75">
      <c r="J733" s="9"/>
      <c r="K733" s="5"/>
    </row>
    <row r="734" spans="10:11" ht="12.75">
      <c r="J734" s="9"/>
      <c r="K734" s="5"/>
    </row>
    <row r="735" spans="8:11" ht="12.75">
      <c r="H735" s="2" t="s">
        <v>15</v>
      </c>
      <c r="J735" s="9"/>
      <c r="K735" s="5"/>
    </row>
    <row r="736" spans="8:11" ht="12.75">
      <c r="H736" s="2" t="s">
        <v>15</v>
      </c>
      <c r="J736" s="9"/>
      <c r="K736" s="5"/>
    </row>
    <row r="737" spans="7:11" ht="12.75">
      <c r="G737" s="9"/>
      <c r="J737" s="9"/>
      <c r="K737" s="5"/>
    </row>
    <row r="738" spans="10:11" ht="12.75">
      <c r="J738" s="9"/>
      <c r="K738" s="5"/>
    </row>
    <row r="739" spans="10:11" ht="12.75">
      <c r="J739" s="9"/>
      <c r="K739" s="5"/>
    </row>
    <row r="740" spans="10:11" ht="12.75">
      <c r="J740" s="9"/>
      <c r="K740" s="5"/>
    </row>
    <row r="741" spans="8:11" ht="12.75">
      <c r="H741" s="2" t="s">
        <v>15</v>
      </c>
      <c r="J741" s="9"/>
      <c r="K741" s="5"/>
    </row>
    <row r="742" spans="8:11" ht="12.75">
      <c r="H742" s="2" t="s">
        <v>15</v>
      </c>
      <c r="J742" s="9"/>
      <c r="K742" s="5"/>
    </row>
    <row r="743" spans="8:11" ht="12.75">
      <c r="H743" s="2" t="s">
        <v>15</v>
      </c>
      <c r="J743" s="9"/>
      <c r="K743" s="5"/>
    </row>
    <row r="744" spans="10:11" ht="12.75">
      <c r="J744" s="9"/>
      <c r="K744" s="5"/>
    </row>
    <row r="745" spans="10:11" ht="12.75">
      <c r="J745" s="9"/>
      <c r="K745" s="5"/>
    </row>
    <row r="746" spans="7:11" ht="12.75">
      <c r="G746" s="9"/>
      <c r="J746" s="9"/>
      <c r="K746" s="5"/>
    </row>
    <row r="747" spans="10:11" ht="12.75">
      <c r="J747" s="9"/>
      <c r="K747" s="5"/>
    </row>
    <row r="748" spans="10:11" ht="12.75">
      <c r="J748" s="9"/>
      <c r="K748" s="5"/>
    </row>
    <row r="749" spans="10:11" ht="12.75">
      <c r="J749" s="9"/>
      <c r="K749" s="5"/>
    </row>
    <row r="750" spans="10:11" ht="12.75">
      <c r="J750" s="9"/>
      <c r="K750" s="5"/>
    </row>
    <row r="751" spans="10:11" ht="12.75">
      <c r="J751" s="9"/>
      <c r="K751" s="5"/>
    </row>
    <row r="752" spans="8:11" ht="12.75">
      <c r="H752" s="2" t="s">
        <v>15</v>
      </c>
      <c r="J752" s="9"/>
      <c r="K752" s="5"/>
    </row>
    <row r="753" spans="8:11" ht="12.75">
      <c r="H753" s="2" t="s">
        <v>15</v>
      </c>
      <c r="J753" s="9"/>
      <c r="K753" s="5"/>
    </row>
    <row r="754" spans="10:11" ht="12.75">
      <c r="J754" s="9"/>
      <c r="K754" s="5"/>
    </row>
    <row r="755" spans="8:11" ht="12.75">
      <c r="H755" s="2" t="s">
        <v>15</v>
      </c>
      <c r="J755" s="9"/>
      <c r="K755" s="5"/>
    </row>
    <row r="756" spans="10:11" ht="12.75">
      <c r="J756" s="9"/>
      <c r="K756" s="5"/>
    </row>
    <row r="757" spans="10:11" ht="12.75">
      <c r="J757" s="9"/>
      <c r="K757" s="5"/>
    </row>
    <row r="758" spans="10:11" ht="12.75">
      <c r="J758" s="9"/>
      <c r="K758" s="5"/>
    </row>
    <row r="759" spans="10:11" ht="12.75">
      <c r="J759" s="9"/>
      <c r="K759" s="5"/>
    </row>
    <row r="760" spans="10:11" ht="12.75">
      <c r="J760" s="9"/>
      <c r="K760" s="5"/>
    </row>
    <row r="761" spans="10:11" ht="12.75">
      <c r="J761" s="9"/>
      <c r="K761" s="5"/>
    </row>
    <row r="762" spans="7:11" ht="12.75">
      <c r="G762" s="9"/>
      <c r="J762" s="9"/>
      <c r="K762" s="5"/>
    </row>
    <row r="763" spans="10:11" ht="12.75">
      <c r="J763" s="9"/>
      <c r="K763" s="5"/>
    </row>
    <row r="764" spans="10:11" ht="12.75">
      <c r="J764" s="9"/>
      <c r="K764" s="5"/>
    </row>
    <row r="765" spans="7:11" ht="12.75">
      <c r="G765" s="9"/>
      <c r="J765" s="9"/>
      <c r="K765" s="5"/>
    </row>
    <row r="766" spans="8:11" ht="12.75">
      <c r="H766" s="2" t="s">
        <v>15</v>
      </c>
      <c r="J766" s="9"/>
      <c r="K766" s="5"/>
    </row>
    <row r="767" spans="10:11" ht="12.75">
      <c r="J767" s="9"/>
      <c r="K767" s="5"/>
    </row>
    <row r="768" spans="1:11" s="110" customFormat="1" ht="12.75">
      <c r="A768" s="20"/>
      <c r="B768" s="1"/>
      <c r="C768" s="1"/>
      <c r="D768" s="2"/>
      <c r="E768" s="5"/>
      <c r="F768" s="5"/>
      <c r="G768" s="1"/>
      <c r="J768" s="129"/>
      <c r="K768" s="128"/>
    </row>
    <row r="769" spans="8:11" ht="12.75">
      <c r="H769" s="2" t="s">
        <v>15</v>
      </c>
      <c r="J769" s="9"/>
      <c r="K769" s="5"/>
    </row>
    <row r="770" spans="10:11" ht="12.75">
      <c r="J770" s="9"/>
      <c r="K770" s="5"/>
    </row>
    <row r="771" spans="10:11" ht="12.75">
      <c r="J771" s="9"/>
      <c r="K771" s="5"/>
    </row>
    <row r="772" spans="8:11" ht="12.75">
      <c r="H772" s="110"/>
      <c r="I772" s="110"/>
      <c r="J772" s="129"/>
      <c r="K772" s="128"/>
    </row>
    <row r="773" spans="10:11" ht="12.75">
      <c r="J773" s="9"/>
      <c r="K773" s="5"/>
    </row>
    <row r="774" spans="10:11" ht="12.75">
      <c r="J774" s="9"/>
      <c r="K774" s="5"/>
    </row>
    <row r="775" spans="8:11" ht="12.75">
      <c r="H775" s="128"/>
      <c r="I775" s="110"/>
      <c r="J775" s="129"/>
      <c r="K775" s="5"/>
    </row>
    <row r="776" spans="10:11" ht="12.75">
      <c r="J776" s="9"/>
      <c r="K776" s="5"/>
    </row>
    <row r="777" spans="8:11" ht="12.75">
      <c r="H777" s="2" t="s">
        <v>15</v>
      </c>
      <c r="J777" s="9"/>
      <c r="K777" s="5"/>
    </row>
    <row r="778" spans="8:11" ht="12.75">
      <c r="H778" s="2" t="s">
        <v>15</v>
      </c>
      <c r="J778" s="9"/>
      <c r="K778" s="5"/>
    </row>
    <row r="779" spans="10:11" ht="12.75">
      <c r="J779" s="9"/>
      <c r="K779" s="5"/>
    </row>
    <row r="780" spans="10:11" ht="12.75">
      <c r="J780" s="9"/>
      <c r="K780" s="5"/>
    </row>
    <row r="781" spans="10:11" ht="12.75">
      <c r="J781" s="9"/>
      <c r="K781" s="5"/>
    </row>
    <row r="783" spans="10:11" ht="12.75">
      <c r="J783" s="9"/>
      <c r="K783" s="5"/>
    </row>
    <row r="784" spans="10:11" ht="12.75">
      <c r="J784" s="9"/>
      <c r="K784" s="5"/>
    </row>
    <row r="785" spans="10:11" ht="12.75">
      <c r="J785" s="9"/>
      <c r="K785" s="5"/>
    </row>
    <row r="786" spans="10:11" ht="12.75">
      <c r="J786" s="9"/>
      <c r="K786" s="5"/>
    </row>
    <row r="787" spans="8:11" ht="12.75">
      <c r="H787" s="2" t="s">
        <v>15</v>
      </c>
      <c r="J787" s="9"/>
      <c r="K787" s="5"/>
    </row>
    <row r="788" spans="10:11" ht="12.75">
      <c r="J788" s="9"/>
      <c r="K788" s="5"/>
    </row>
    <row r="789" spans="10:11" ht="12.75">
      <c r="J789" s="9"/>
      <c r="K789" s="5"/>
    </row>
    <row r="790" spans="8:11" ht="12.75">
      <c r="H790" s="2" t="s">
        <v>15</v>
      </c>
      <c r="J790" s="9"/>
      <c r="K790" s="5"/>
    </row>
    <row r="791" spans="10:11" ht="12.75">
      <c r="J791" s="9"/>
      <c r="K791" s="5"/>
    </row>
    <row r="792" spans="10:11" ht="12.75">
      <c r="J792" s="9"/>
      <c r="K792" s="5"/>
    </row>
    <row r="794" spans="10:11" ht="12.75">
      <c r="J794" s="9"/>
      <c r="K794" s="5"/>
    </row>
    <row r="795" spans="10:11" ht="12.75">
      <c r="J795" s="9"/>
      <c r="K795" s="5"/>
    </row>
    <row r="796" spans="8:11" ht="12.75">
      <c r="H796" s="2" t="s">
        <v>15</v>
      </c>
      <c r="J796" s="9"/>
      <c r="K796" s="5"/>
    </row>
    <row r="797" spans="8:11" ht="12.75">
      <c r="H797" s="2" t="s">
        <v>15</v>
      </c>
      <c r="J797" s="9"/>
      <c r="K797" s="5"/>
    </row>
    <row r="798" spans="8:11" ht="12.75">
      <c r="H798" s="2" t="s">
        <v>15</v>
      </c>
      <c r="J798" s="9"/>
      <c r="K798" s="5"/>
    </row>
    <row r="799" spans="10:11" ht="12.75">
      <c r="J799" s="9"/>
      <c r="K799" s="5"/>
    </row>
    <row r="800" spans="10:11" ht="12.75">
      <c r="J800" s="9"/>
      <c r="K800" s="5"/>
    </row>
    <row r="801" spans="10:11" ht="12.75">
      <c r="J801" s="9"/>
      <c r="K801" s="5"/>
    </row>
    <row r="802" spans="10:11" ht="12.75">
      <c r="J802" s="9"/>
      <c r="K802" s="5"/>
    </row>
    <row r="803" spans="10:11" ht="12.75">
      <c r="J803" s="9"/>
      <c r="K803" s="5"/>
    </row>
    <row r="804" spans="8:11" ht="12.75">
      <c r="H804" s="2" t="s">
        <v>15</v>
      </c>
      <c r="J804" s="9"/>
      <c r="K804" s="5"/>
    </row>
    <row r="805" spans="10:11" ht="12.75">
      <c r="J805" s="9"/>
      <c r="K805" s="5"/>
    </row>
    <row r="806" spans="8:11" ht="12.75">
      <c r="H806" s="2" t="s">
        <v>15</v>
      </c>
      <c r="J806" s="9"/>
      <c r="K806" s="5"/>
    </row>
    <row r="807" spans="8:11" ht="12.75">
      <c r="H807" s="110"/>
      <c r="I807" s="110"/>
      <c r="J807" s="129"/>
      <c r="K807" s="128"/>
    </row>
    <row r="808" spans="8:11" ht="12.75">
      <c r="H808" s="110"/>
      <c r="I808" s="110"/>
      <c r="J808" s="129"/>
      <c r="K808" s="128"/>
    </row>
    <row r="810" spans="1:11" s="71" customFormat="1" ht="12.75">
      <c r="A810" s="20"/>
      <c r="B810" s="1"/>
      <c r="C810" s="1"/>
      <c r="D810" s="2"/>
      <c r="E810" s="5"/>
      <c r="F810" s="5"/>
      <c r="G810" s="1"/>
      <c r="J810" s="108"/>
      <c r="K810" s="79"/>
    </row>
    <row r="811" spans="10:11" ht="12.75">
      <c r="J811" s="9"/>
      <c r="K811" s="5"/>
    </row>
    <row r="812" spans="10:11" ht="12.75">
      <c r="J812" s="9"/>
      <c r="K812" s="5"/>
    </row>
    <row r="813" spans="10:11" ht="12.75">
      <c r="J813" s="9"/>
      <c r="K813" s="5"/>
    </row>
    <row r="814" spans="8:11" ht="12.75">
      <c r="H814" s="110"/>
      <c r="I814" s="110"/>
      <c r="J814" s="129"/>
      <c r="K814" s="128"/>
    </row>
    <row r="815" spans="8:11" ht="12.75">
      <c r="H815" s="110"/>
      <c r="I815" s="110"/>
      <c r="J815" s="129"/>
      <c r="K815" s="128"/>
    </row>
    <row r="816" spans="10:11" ht="12.75">
      <c r="J816" s="9"/>
      <c r="K816" s="5"/>
    </row>
    <row r="817" spans="8:11" ht="12.75">
      <c r="H817" s="2" t="s">
        <v>15</v>
      </c>
      <c r="J817" s="9"/>
      <c r="K817" s="5"/>
    </row>
    <row r="818" spans="10:11" ht="12.75">
      <c r="J818" s="9"/>
      <c r="K818" s="5"/>
    </row>
    <row r="819" spans="10:11" ht="12.75">
      <c r="J819" s="9"/>
      <c r="K819" s="5"/>
    </row>
    <row r="820" spans="10:11" ht="12.75">
      <c r="J820" s="9"/>
      <c r="K820" s="5"/>
    </row>
    <row r="821" spans="8:11" ht="12.75">
      <c r="H821" s="2" t="s">
        <v>15</v>
      </c>
      <c r="J821" s="9"/>
      <c r="K821" s="5"/>
    </row>
    <row r="822" spans="10:11" ht="12.75">
      <c r="J822" s="9"/>
      <c r="K822" s="5"/>
    </row>
    <row r="823" spans="10:11" ht="12.75">
      <c r="J823" s="9"/>
      <c r="K823" s="5"/>
    </row>
    <row r="824" spans="10:11" ht="12.75">
      <c r="J824" s="9"/>
      <c r="K824" s="5"/>
    </row>
    <row r="825" spans="8:11" ht="12.75">
      <c r="H825" s="2" t="s">
        <v>15</v>
      </c>
      <c r="J825" s="9"/>
      <c r="K825" s="5"/>
    </row>
    <row r="826" spans="8:11" ht="12.75">
      <c r="H826" s="2" t="s">
        <v>15</v>
      </c>
      <c r="J826" s="9"/>
      <c r="K826" s="5"/>
    </row>
    <row r="828" spans="10:11" ht="12.75">
      <c r="J828" s="9"/>
      <c r="K828" s="5"/>
    </row>
    <row r="830" spans="8:11" ht="12.75">
      <c r="H830" s="2" t="s">
        <v>15</v>
      </c>
      <c r="J830" s="9"/>
      <c r="K830" s="5"/>
    </row>
    <row r="831" spans="8:11" ht="12.75">
      <c r="H831" s="110"/>
      <c r="I831" s="110"/>
      <c r="J831" s="129"/>
      <c r="K831" s="128"/>
    </row>
    <row r="832" spans="8:11" ht="12.75">
      <c r="H832" s="110"/>
      <c r="I832" s="110"/>
      <c r="J832" s="129"/>
      <c r="K832" s="128"/>
    </row>
    <row r="833" spans="10:11" ht="12.75">
      <c r="J833" s="9"/>
      <c r="K833" s="5"/>
    </row>
    <row r="834" spans="10:11" ht="12.75">
      <c r="J834" s="9"/>
      <c r="K834" s="5"/>
    </row>
    <row r="835" spans="10:11" ht="12.75">
      <c r="J835" s="9"/>
      <c r="K835" s="5"/>
    </row>
    <row r="836" spans="10:11" ht="12.75">
      <c r="J836" s="9"/>
      <c r="K836" s="5"/>
    </row>
    <row r="837" spans="8:11" ht="12.75">
      <c r="H837" s="2" t="s">
        <v>15</v>
      </c>
      <c r="J837" s="9"/>
      <c r="K837" s="5"/>
    </row>
    <row r="838" spans="8:11" ht="12.75">
      <c r="H838" s="2" t="s">
        <v>15</v>
      </c>
      <c r="J838" s="9"/>
      <c r="K838" s="5"/>
    </row>
    <row r="839" spans="8:11" ht="12.75">
      <c r="H839" s="2" t="s">
        <v>15</v>
      </c>
      <c r="J839" s="9"/>
      <c r="K839" s="5"/>
    </row>
    <row r="840" spans="1:11" s="71" customFormat="1" ht="12.75">
      <c r="A840" s="20"/>
      <c r="B840" s="1"/>
      <c r="C840" s="1"/>
      <c r="D840" s="2"/>
      <c r="E840" s="5"/>
      <c r="F840" s="5"/>
      <c r="G840" s="1"/>
      <c r="J840" s="108"/>
      <c r="K840" s="79"/>
    </row>
    <row r="841" spans="8:11" ht="12.75">
      <c r="H841" s="2" t="s">
        <v>15</v>
      </c>
      <c r="J841" s="9"/>
      <c r="K841" s="5"/>
    </row>
    <row r="842" spans="8:11" ht="12.75">
      <c r="H842" s="2" t="s">
        <v>15</v>
      </c>
      <c r="J842" s="9"/>
      <c r="K842" s="5"/>
    </row>
    <row r="844" spans="1:11" s="71" customFormat="1" ht="12.75">
      <c r="A844" s="20"/>
      <c r="B844" s="1"/>
      <c r="C844" s="1"/>
      <c r="D844" s="2"/>
      <c r="E844" s="5"/>
      <c r="F844" s="5"/>
      <c r="G844" s="1"/>
      <c r="J844" s="108"/>
      <c r="K844" s="79"/>
    </row>
    <row r="846" spans="1:11" s="71" customFormat="1" ht="12.75">
      <c r="A846" s="20"/>
      <c r="B846" s="1"/>
      <c r="C846" s="1"/>
      <c r="D846" s="2"/>
      <c r="E846" s="5"/>
      <c r="F846" s="5"/>
      <c r="G846" s="1"/>
      <c r="J846" s="108"/>
      <c r="K846" s="79"/>
    </row>
    <row r="847" spans="1:11" s="71" customFormat="1" ht="12.75">
      <c r="A847" s="20"/>
      <c r="B847" s="1"/>
      <c r="C847" s="1"/>
      <c r="D847" s="2"/>
      <c r="E847" s="5"/>
      <c r="F847" s="5"/>
      <c r="G847" s="1"/>
      <c r="J847" s="108"/>
      <c r="K847" s="79"/>
    </row>
    <row r="848" spans="1:11" s="71" customFormat="1" ht="12.75">
      <c r="A848" s="20"/>
      <c r="B848" s="1"/>
      <c r="C848" s="1"/>
      <c r="D848" s="2"/>
      <c r="E848" s="5"/>
      <c r="F848" s="5"/>
      <c r="G848" s="1"/>
      <c r="J848" s="108"/>
      <c r="K848" s="79"/>
    </row>
    <row r="849" spans="1:11" s="71" customFormat="1" ht="12.75">
      <c r="A849" s="20"/>
      <c r="B849" s="1"/>
      <c r="C849" s="1"/>
      <c r="D849" s="2"/>
      <c r="E849" s="5"/>
      <c r="F849" s="5"/>
      <c r="G849" s="1"/>
      <c r="J849" s="108"/>
      <c r="K849" s="79"/>
    </row>
    <row r="850" spans="1:11" s="71" customFormat="1" ht="12.75">
      <c r="A850" s="20"/>
      <c r="B850" s="1"/>
      <c r="C850" s="1"/>
      <c r="D850" s="2"/>
      <c r="E850" s="5"/>
      <c r="F850" s="5"/>
      <c r="G850" s="1"/>
      <c r="J850" s="108"/>
      <c r="K850" s="79"/>
    </row>
    <row r="851" spans="1:11" s="71" customFormat="1" ht="12.75">
      <c r="A851" s="20"/>
      <c r="B851" s="1"/>
      <c r="C851" s="1"/>
      <c r="D851" s="2"/>
      <c r="E851" s="5"/>
      <c r="F851" s="5"/>
      <c r="G851" s="1"/>
      <c r="J851" s="108"/>
      <c r="K851" s="79"/>
    </row>
    <row r="852" spans="1:11" s="156" customFormat="1" ht="12.75">
      <c r="A852" s="20"/>
      <c r="B852" s="1"/>
      <c r="C852" s="1"/>
      <c r="D852" s="2"/>
      <c r="E852" s="5"/>
      <c r="F852" s="5"/>
      <c r="G852" s="1"/>
      <c r="J852" s="158"/>
      <c r="K852" s="157"/>
    </row>
    <row r="853" spans="10:11" ht="12.75">
      <c r="J853" s="9"/>
      <c r="K853" s="5"/>
    </row>
    <row r="854" spans="1:11" s="134" customFormat="1" ht="12.75">
      <c r="A854" s="20"/>
      <c r="B854" s="1"/>
      <c r="C854" s="1"/>
      <c r="D854" s="2"/>
      <c r="E854" s="5"/>
      <c r="F854" s="5"/>
      <c r="G854" s="1"/>
      <c r="J854" s="150"/>
      <c r="K854" s="153"/>
    </row>
    <row r="855" spans="10:11" ht="12.75">
      <c r="J855" s="9"/>
      <c r="K855" s="5"/>
    </row>
    <row r="856" ht="12.75">
      <c r="J856" s="9"/>
    </row>
    <row r="857" spans="10:11" ht="12.75">
      <c r="J857" s="9"/>
      <c r="K857" s="5"/>
    </row>
    <row r="858" spans="10:11" ht="12.75">
      <c r="J858" s="9"/>
      <c r="K858" s="5"/>
    </row>
    <row r="859" spans="10:11" ht="12.75">
      <c r="J859" s="9"/>
      <c r="K859" s="5"/>
    </row>
    <row r="860" spans="10:11" ht="12.75">
      <c r="J860" s="9"/>
      <c r="K860" s="5"/>
    </row>
    <row r="861" spans="10:11" ht="12.75">
      <c r="J861" s="9"/>
      <c r="K861" s="5"/>
    </row>
    <row r="862" spans="10:11" ht="12.75">
      <c r="J862" s="9"/>
      <c r="K862" s="5"/>
    </row>
    <row r="863" spans="10:11" ht="12.75">
      <c r="J863" s="9"/>
      <c r="K863" s="5"/>
    </row>
    <row r="864" spans="10:11" ht="12.75">
      <c r="J864" s="9"/>
      <c r="K864" s="5"/>
    </row>
    <row r="865" spans="10:11" ht="12.75">
      <c r="J865" s="9"/>
      <c r="K865" s="5"/>
    </row>
    <row r="866" spans="10:11" ht="12.75">
      <c r="J866" s="9"/>
      <c r="K866" s="5"/>
    </row>
    <row r="867" spans="10:11" ht="12.75">
      <c r="J867" s="9"/>
      <c r="K867" s="5"/>
    </row>
    <row r="868" spans="10:11" ht="12.75">
      <c r="J868" s="9"/>
      <c r="K868" s="5"/>
    </row>
    <row r="869" spans="10:11" ht="12.75">
      <c r="J869" s="9"/>
      <c r="K869" s="5"/>
    </row>
    <row r="870" spans="10:11" ht="12.75">
      <c r="J870" s="9"/>
      <c r="K870" s="5"/>
    </row>
    <row r="871" spans="10:11" ht="12.75">
      <c r="J871" s="9"/>
      <c r="K871" s="5"/>
    </row>
    <row r="872" spans="10:11" ht="12.75">
      <c r="J872" s="9"/>
      <c r="K872" s="5"/>
    </row>
    <row r="873" ht="12.75">
      <c r="J873" s="9"/>
    </row>
    <row r="874" spans="10:11" ht="12.75">
      <c r="J874" s="9"/>
      <c r="K874" s="5"/>
    </row>
    <row r="875" spans="10:11" ht="12.75">
      <c r="J875" s="9"/>
      <c r="K875" s="5"/>
    </row>
    <row r="876" spans="10:11" ht="12.75">
      <c r="J876" s="9"/>
      <c r="K876" s="5"/>
    </row>
    <row r="877" spans="10:11" ht="12.75">
      <c r="J877" s="9"/>
      <c r="K877" s="5"/>
    </row>
    <row r="878" spans="10:11" ht="12.75">
      <c r="J878" s="9"/>
      <c r="K878" s="5"/>
    </row>
    <row r="879" spans="10:11" ht="12.75">
      <c r="J879" s="9"/>
      <c r="K879" s="5"/>
    </row>
    <row r="880" spans="10:11" ht="12.75">
      <c r="J880" s="9"/>
      <c r="K880" s="5"/>
    </row>
    <row r="881" spans="10:11" ht="12.75">
      <c r="J881" s="9"/>
      <c r="K881" s="5"/>
    </row>
    <row r="882" spans="10:11" ht="12.75">
      <c r="J882" s="9"/>
      <c r="K882" s="5"/>
    </row>
    <row r="883" spans="10:11" ht="12.75">
      <c r="J883" s="9"/>
      <c r="K883" s="5"/>
    </row>
    <row r="884" spans="10:11" ht="12.75">
      <c r="J884" s="9"/>
      <c r="K884" s="5"/>
    </row>
    <row r="885" spans="10:11" ht="12.75">
      <c r="J885" s="9"/>
      <c r="K885" s="5"/>
    </row>
    <row r="886" spans="10:11" ht="12.75">
      <c r="J886" s="9"/>
      <c r="K886" s="5"/>
    </row>
    <row r="887" spans="10:11" ht="12.75">
      <c r="J887" s="9"/>
      <c r="K887" s="5"/>
    </row>
    <row r="888" spans="10:11" ht="12.75">
      <c r="J888" s="9"/>
      <c r="K888" s="5"/>
    </row>
    <row r="889" spans="10:11" ht="12.75">
      <c r="J889" s="9"/>
      <c r="K889" s="5"/>
    </row>
    <row r="890" ht="12.75">
      <c r="J890" s="9"/>
    </row>
    <row r="891" ht="12.75">
      <c r="J891" s="9"/>
    </row>
    <row r="892" ht="12.75">
      <c r="J892" s="9"/>
    </row>
    <row r="893" ht="12.75">
      <c r="J893" s="9"/>
    </row>
    <row r="894" ht="12.75">
      <c r="J894" s="9"/>
    </row>
    <row r="895" spans="10:11" ht="12.75">
      <c r="J895" s="9"/>
      <c r="K895" s="5"/>
    </row>
    <row r="896" spans="10:11" ht="12.75">
      <c r="J896" s="9"/>
      <c r="K896" s="5"/>
    </row>
    <row r="897" spans="10:11" ht="12.75">
      <c r="J897" s="9"/>
      <c r="K897" s="5"/>
    </row>
    <row r="898" spans="10:11" ht="12.75">
      <c r="J898" s="9"/>
      <c r="K898" s="5"/>
    </row>
    <row r="899" spans="10:11" ht="12.75">
      <c r="J899" s="9"/>
      <c r="K899" s="5"/>
    </row>
    <row r="900" spans="10:11" ht="12.75">
      <c r="J900" s="9"/>
      <c r="K900" s="5"/>
    </row>
    <row r="901" spans="10:11" ht="12.75">
      <c r="J901" s="9"/>
      <c r="K901" s="5"/>
    </row>
    <row r="902" spans="10:11" ht="12.75">
      <c r="J902" s="9"/>
      <c r="K902" s="5"/>
    </row>
    <row r="903" spans="10:11" ht="12.75">
      <c r="J903" s="9"/>
      <c r="K903" s="5"/>
    </row>
    <row r="904" spans="10:11" ht="12.75">
      <c r="J904" s="9"/>
      <c r="K904" s="5"/>
    </row>
    <row r="905" spans="10:11" ht="12.75">
      <c r="J905" s="9"/>
      <c r="K905" s="5"/>
    </row>
    <row r="906" spans="10:11" ht="12.75">
      <c r="J906" s="9"/>
      <c r="K906" s="5"/>
    </row>
    <row r="907" spans="10:11" ht="12.75">
      <c r="J907" s="9"/>
      <c r="K907" s="5"/>
    </row>
    <row r="908" spans="10:11" ht="12.75">
      <c r="J908" s="9"/>
      <c r="K908" s="5"/>
    </row>
    <row r="909" spans="10:11" ht="12.75">
      <c r="J909" s="9"/>
      <c r="K909" s="5"/>
    </row>
    <row r="910" spans="10:11" ht="12.75">
      <c r="J910" s="9"/>
      <c r="K910" s="5"/>
    </row>
    <row r="911" spans="10:11" ht="12.75">
      <c r="J911" s="9"/>
      <c r="K911" s="5"/>
    </row>
    <row r="912" ht="12.75">
      <c r="J912" s="9"/>
    </row>
    <row r="913" ht="12.75">
      <c r="J913" s="9"/>
    </row>
    <row r="914" ht="12.75">
      <c r="J914" s="9"/>
    </row>
    <row r="915" ht="12.75">
      <c r="J915" s="9"/>
    </row>
    <row r="916" ht="12.75">
      <c r="J916" s="9"/>
    </row>
    <row r="949" ht="12.75">
      <c r="J949" s="2" t="s">
        <v>15</v>
      </c>
    </row>
    <row r="950" ht="12.75">
      <c r="H950" s="9"/>
    </row>
    <row r="951" ht="12.75">
      <c r="H951" s="9"/>
    </row>
    <row r="952" ht="12.75">
      <c r="H952" s="9" t="s">
        <v>15</v>
      </c>
    </row>
    <row r="953" ht="12.75">
      <c r="H953" s="9"/>
    </row>
    <row r="954" ht="12.75">
      <c r="H954" s="9"/>
    </row>
    <row r="965" ht="12.75">
      <c r="I965" s="5"/>
    </row>
    <row r="991" ht="12.75">
      <c r="H991" s="2" t="s">
        <v>15</v>
      </c>
    </row>
    <row r="997" ht="12.75">
      <c r="I997" s="32">
        <f>SUM(I995:I996)</f>
        <v>0</v>
      </c>
    </row>
    <row r="1043" ht="12.75">
      <c r="I1043" s="9"/>
    </row>
    <row r="1088" ht="12.75">
      <c r="I1088" s="5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55"/>
  <sheetViews>
    <sheetView zoomScale="75" zoomScaleNormal="75" zoomScalePageLayoutView="0" workbookViewId="0" topLeftCell="A1">
      <selection activeCell="A32" sqref="A32"/>
    </sheetView>
  </sheetViews>
  <sheetFormatPr defaultColWidth="11.421875" defaultRowHeight="12.75"/>
  <cols>
    <col min="1" max="1" width="26.8515625" style="0" customWidth="1"/>
    <col min="2" max="4" width="8.57421875" style="0" customWidth="1"/>
  </cols>
  <sheetData>
    <row r="1" spans="1:88" ht="18">
      <c r="A1" s="36"/>
      <c r="B1" s="36"/>
      <c r="C1" s="41"/>
      <c r="D1" s="48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5"/>
      <c r="BJ1" s="5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2.75">
      <c r="A2" s="2"/>
      <c r="B2" s="2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5"/>
      <c r="BJ2" s="5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2"/>
      <c r="CH2" s="1"/>
      <c r="CI2" s="1" t="s">
        <v>118</v>
      </c>
      <c r="CJ2" s="1"/>
    </row>
    <row r="3" spans="1:88" ht="15.75">
      <c r="A3" s="2"/>
      <c r="B3" s="51"/>
      <c r="C3" s="1"/>
      <c r="D3" s="4"/>
      <c r="E3" s="1"/>
      <c r="F3" s="9"/>
      <c r="G3" s="1"/>
      <c r="H3" s="1"/>
      <c r="I3" s="4"/>
      <c r="J3" s="4"/>
      <c r="K3" s="4"/>
      <c r="L3" s="1"/>
      <c r="M3" s="1"/>
      <c r="N3" s="1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"/>
      <c r="AC3" s="1"/>
      <c r="AD3" s="1"/>
      <c r="AE3" s="4"/>
      <c r="AF3" s="4"/>
      <c r="AG3" s="4"/>
      <c r="AH3" s="1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1"/>
      <c r="BL3" s="1"/>
      <c r="BM3" s="1"/>
      <c r="BN3" s="1"/>
      <c r="BO3" s="38"/>
      <c r="BP3" s="38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5"/>
      <c r="CF3" s="38"/>
      <c r="CG3" s="1"/>
      <c r="CH3" s="38"/>
      <c r="CI3" s="38" t="s">
        <v>117</v>
      </c>
      <c r="CJ3" s="38"/>
    </row>
    <row r="4" spans="1:88" ht="12.75">
      <c r="A4" s="37"/>
      <c r="B4" s="37"/>
      <c r="C4" s="43"/>
      <c r="D4" s="4"/>
      <c r="E4" s="38"/>
      <c r="F4" s="20"/>
      <c r="G4" s="4"/>
      <c r="H4" s="38"/>
      <c r="I4" s="4"/>
      <c r="J4" s="4"/>
      <c r="K4" s="4"/>
      <c r="L4" s="20"/>
      <c r="M4" s="20"/>
      <c r="N4" s="39"/>
      <c r="O4" s="39"/>
      <c r="P4" s="40"/>
      <c r="Q4" s="20"/>
      <c r="R4" s="39"/>
      <c r="S4" s="39"/>
      <c r="T4" s="39"/>
      <c r="U4" s="20"/>
      <c r="V4" s="39"/>
      <c r="W4" s="39"/>
      <c r="X4" s="20"/>
      <c r="Y4" s="39"/>
      <c r="Z4" s="38"/>
      <c r="AA4" s="38"/>
      <c r="AB4" s="4"/>
      <c r="AC4" s="20"/>
      <c r="AD4" s="39"/>
      <c r="AE4" s="4"/>
      <c r="AF4" s="4"/>
      <c r="AG4" s="4"/>
      <c r="AH4" s="39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38"/>
      <c r="BL4" s="38"/>
      <c r="BM4" s="38"/>
      <c r="BN4" s="38"/>
      <c r="BO4" s="4"/>
      <c r="BP4" s="4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5"/>
      <c r="CF4" s="38"/>
      <c r="CG4" s="38"/>
      <c r="CH4" s="38"/>
      <c r="CI4" s="38" t="s">
        <v>119</v>
      </c>
      <c r="CJ4" s="38"/>
    </row>
    <row r="5" spans="1:88" ht="12.75">
      <c r="A5" s="2"/>
      <c r="B5" s="2"/>
      <c r="C5" s="1"/>
      <c r="D5" s="40"/>
      <c r="E5" s="39"/>
      <c r="F5" s="20"/>
      <c r="G5" s="38"/>
      <c r="H5" s="39"/>
      <c r="I5" s="38"/>
      <c r="J5" s="38"/>
      <c r="K5" s="14"/>
      <c r="L5" s="14"/>
      <c r="M5" s="1"/>
      <c r="N5" s="1"/>
      <c r="O5" s="1"/>
      <c r="P5" s="4"/>
      <c r="Q5" s="14"/>
      <c r="R5" s="14"/>
      <c r="S5" s="14"/>
      <c r="T5" s="14"/>
      <c r="U5" s="14"/>
      <c r="V5" s="1"/>
      <c r="W5" s="14"/>
      <c r="X5" s="14"/>
      <c r="Y5" s="14"/>
      <c r="Z5" s="14"/>
      <c r="AA5" s="14"/>
      <c r="AB5" s="4"/>
      <c r="AC5" s="14"/>
      <c r="AD5" s="14"/>
      <c r="AE5" s="74"/>
      <c r="AF5" s="74"/>
      <c r="AG5" s="74"/>
      <c r="AH5" s="1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5"/>
      <c r="BJ5" s="5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74"/>
      <c r="BX5" s="74"/>
      <c r="BY5" s="14"/>
      <c r="BZ5" s="14"/>
      <c r="CA5" s="14"/>
      <c r="CB5" s="14"/>
      <c r="CC5" s="14"/>
      <c r="CD5" s="14"/>
      <c r="CE5" s="5"/>
      <c r="CF5" s="14"/>
      <c r="CG5" s="1"/>
      <c r="CH5" s="1"/>
      <c r="CI5" s="1"/>
      <c r="CJ5" s="1"/>
    </row>
    <row r="6" spans="1:88" ht="12.75">
      <c r="A6" s="2"/>
      <c r="B6" s="2"/>
      <c r="C6" s="1"/>
      <c r="D6" s="40"/>
      <c r="E6" s="39"/>
      <c r="F6" s="20"/>
      <c r="G6" s="38"/>
      <c r="H6" s="39"/>
      <c r="I6" s="38"/>
      <c r="J6" s="38"/>
      <c r="K6" s="3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4"/>
      <c r="AA6" s="14"/>
      <c r="AB6" s="4"/>
      <c r="AC6" s="1"/>
      <c r="AD6" s="1"/>
      <c r="AE6" s="4"/>
      <c r="AF6" s="4"/>
      <c r="AG6" s="4"/>
      <c r="AH6" s="1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5"/>
      <c r="BJ6" s="5"/>
      <c r="BK6" s="1"/>
      <c r="BL6" s="1"/>
      <c r="BM6" s="1"/>
      <c r="BN6" s="1"/>
      <c r="BO6" s="1"/>
      <c r="BP6" s="1"/>
      <c r="BQ6" s="4"/>
      <c r="BR6" s="4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2.75">
      <c r="A7" s="2"/>
      <c r="B7" s="2"/>
      <c r="C7" s="1"/>
      <c r="D7" s="4"/>
      <c r="E7" s="78"/>
      <c r="F7" s="78"/>
      <c r="G7" s="78"/>
      <c r="H7" s="78"/>
      <c r="I7" s="78"/>
      <c r="J7" s="78"/>
      <c r="K7" s="7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1"/>
      <c r="CI7" s="1"/>
      <c r="CJ7" s="1"/>
    </row>
    <row r="8" spans="1:88" ht="12.75">
      <c r="A8" s="2"/>
      <c r="B8" s="2"/>
      <c r="C8" s="1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1"/>
      <c r="CI8" s="1"/>
      <c r="CJ8" s="1"/>
    </row>
    <row r="9" spans="1:88" ht="12.75">
      <c r="A9" s="2"/>
      <c r="B9" s="2"/>
      <c r="C9" s="1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1"/>
      <c r="CI9" s="1"/>
      <c r="CJ9" s="1"/>
    </row>
    <row r="10" spans="1:88" ht="12.75">
      <c r="A10" s="2"/>
      <c r="B10" s="2"/>
      <c r="C10" s="1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1"/>
      <c r="CI10" s="1"/>
      <c r="CJ10" s="1"/>
    </row>
    <row r="11" spans="1:88" ht="12.75">
      <c r="A11" s="2"/>
      <c r="B11" s="2"/>
      <c r="C11" s="1"/>
      <c r="D11" s="6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10"/>
      <c r="CE11" s="5"/>
      <c r="CF11" s="10"/>
      <c r="CG11" s="5"/>
      <c r="CH11" s="2"/>
      <c r="CI11" s="2"/>
      <c r="CJ11" s="2"/>
    </row>
    <row r="12" spans="1:88" ht="12.75">
      <c r="A12" s="2"/>
      <c r="B12" s="2"/>
      <c r="C12" s="1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10"/>
      <c r="CE12" s="5"/>
      <c r="CF12" s="10"/>
      <c r="CG12" s="5"/>
      <c r="CH12" s="2"/>
      <c r="CI12" s="2"/>
      <c r="CJ12" s="2"/>
    </row>
    <row r="13" spans="1:88" ht="12.75">
      <c r="A13" s="2"/>
      <c r="B13" s="2"/>
      <c r="C13" s="1"/>
      <c r="D13" s="6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10"/>
      <c r="CE13" s="5"/>
      <c r="CF13" s="10"/>
      <c r="CG13" s="5"/>
      <c r="CH13" s="2"/>
      <c r="CI13" s="2"/>
      <c r="CJ13" s="2"/>
    </row>
    <row r="14" spans="1:88" ht="12.75">
      <c r="A14" s="2"/>
      <c r="B14" s="2"/>
      <c r="C14" s="1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10"/>
      <c r="CE14" s="5"/>
      <c r="CF14" s="10"/>
      <c r="CG14" s="5"/>
      <c r="CH14" s="2"/>
      <c r="CI14" s="2"/>
      <c r="CJ14" s="2"/>
    </row>
    <row r="15" spans="1:88" ht="12.75">
      <c r="A15" s="2"/>
      <c r="B15" s="2"/>
      <c r="C15" s="1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10"/>
      <c r="CE15" s="5"/>
      <c r="CF15" s="10"/>
      <c r="CG15" s="5"/>
      <c r="CH15" s="2"/>
      <c r="CI15" s="2"/>
      <c r="CJ15" s="2"/>
    </row>
    <row r="16" spans="1:88" ht="12.75">
      <c r="A16" s="2"/>
      <c r="B16" s="2"/>
      <c r="C16" s="1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10"/>
      <c r="CE16" s="5"/>
      <c r="CF16" s="10"/>
      <c r="CG16" s="5"/>
      <c r="CH16" s="2"/>
      <c r="CI16" s="2"/>
      <c r="CJ16" s="2"/>
    </row>
    <row r="17" spans="1:88" ht="12.75">
      <c r="A17" s="2"/>
      <c r="B17" s="2"/>
      <c r="C17" s="1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10"/>
      <c r="CE17" s="5"/>
      <c r="CF17" s="10"/>
      <c r="CG17" s="5"/>
      <c r="CH17" s="2"/>
      <c r="CI17" s="2"/>
      <c r="CJ17" s="2"/>
    </row>
    <row r="18" spans="1:88" ht="12.75">
      <c r="A18" s="2"/>
      <c r="B18" s="2"/>
      <c r="C18" s="1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10"/>
      <c r="CE18" s="5"/>
      <c r="CF18" s="10"/>
      <c r="CG18" s="5"/>
      <c r="CH18" s="2"/>
      <c r="CI18" s="2"/>
      <c r="CJ18" s="2"/>
    </row>
    <row r="19" spans="1:88" ht="12.75">
      <c r="A19" s="2"/>
      <c r="B19" s="2"/>
      <c r="C19" s="1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10"/>
      <c r="CE19" s="5"/>
      <c r="CF19" s="10"/>
      <c r="CG19" s="5"/>
      <c r="CH19" s="2"/>
      <c r="CI19" s="2"/>
      <c r="CJ19" s="2"/>
    </row>
    <row r="20" spans="1:88" ht="12.75">
      <c r="A20" s="2"/>
      <c r="B20" s="2"/>
      <c r="C20" s="1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10"/>
      <c r="CE20" s="5"/>
      <c r="CF20" s="10"/>
      <c r="CG20" s="5"/>
      <c r="CH20" s="2"/>
      <c r="CI20" s="2"/>
      <c r="CJ20" s="2"/>
    </row>
    <row r="21" spans="1:88" ht="12.75">
      <c r="A21" s="2"/>
      <c r="B21" s="2"/>
      <c r="C21" s="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10"/>
      <c r="CE21" s="5"/>
      <c r="CF21" s="10"/>
      <c r="CG21" s="5"/>
      <c r="CH21" s="2"/>
      <c r="CI21" s="2"/>
      <c r="CJ21" s="2"/>
    </row>
    <row r="22" spans="1:88" ht="12.75">
      <c r="A22" s="2"/>
      <c r="B22" s="2"/>
      <c r="C22" s="1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10"/>
      <c r="CE22" s="5"/>
      <c r="CF22" s="10"/>
      <c r="CG22" s="5"/>
      <c r="CH22" s="2"/>
      <c r="CI22" s="2"/>
      <c r="CJ22" s="2"/>
    </row>
    <row r="23" spans="1:88" ht="12.75">
      <c r="A23" s="2"/>
      <c r="B23" s="2"/>
      <c r="C23" s="1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73"/>
      <c r="AC23" s="5"/>
      <c r="AD23" s="5"/>
      <c r="AE23" s="73"/>
      <c r="AF23" s="73"/>
      <c r="AG23" s="73"/>
      <c r="AH23" s="5"/>
      <c r="AI23" s="73"/>
      <c r="AJ23" s="73"/>
      <c r="AK23" s="73"/>
      <c r="AL23" s="73"/>
      <c r="AM23" s="73"/>
      <c r="AN23" s="79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10"/>
      <c r="CE23" s="5"/>
      <c r="CF23" s="10"/>
      <c r="CG23" s="5"/>
      <c r="CH23" s="2"/>
      <c r="CI23" s="2"/>
      <c r="CJ23" s="2"/>
    </row>
    <row r="24" spans="1:88" ht="12.75">
      <c r="A24" s="2"/>
      <c r="B24" s="2"/>
      <c r="C24" s="1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73"/>
      <c r="BL24" s="73"/>
      <c r="BM24" s="79"/>
      <c r="BN24" s="79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1"/>
      <c r="CI24" s="1"/>
      <c r="CJ24" s="1"/>
    </row>
    <row r="25" spans="1:88" ht="12.75">
      <c r="A25" s="2"/>
      <c r="B25" s="2"/>
      <c r="C25" s="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10"/>
      <c r="CE25" s="5"/>
      <c r="CF25" s="10"/>
      <c r="CG25" s="5"/>
      <c r="CH25" s="2"/>
      <c r="CI25" s="2"/>
      <c r="CJ25" s="2"/>
    </row>
    <row r="26" spans="1:88" ht="12.75">
      <c r="A26" s="2"/>
      <c r="B26" s="2"/>
      <c r="C26" s="1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10"/>
      <c r="CE26" s="5"/>
      <c r="CF26" s="10"/>
      <c r="CG26" s="5"/>
      <c r="CH26" s="2"/>
      <c r="CI26" s="2"/>
      <c r="CJ26" s="2"/>
    </row>
    <row r="27" spans="1:88" ht="12.75">
      <c r="A27" s="2"/>
      <c r="B27" s="2"/>
      <c r="C27" s="1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10"/>
      <c r="CE27" s="5"/>
      <c r="CF27" s="10"/>
      <c r="CG27" s="5"/>
      <c r="CH27" s="2"/>
      <c r="CI27" s="2"/>
      <c r="CJ27" s="2"/>
    </row>
    <row r="28" spans="1:88" ht="12.75">
      <c r="A28" s="2"/>
      <c r="B28" s="2"/>
      <c r="C28" s="1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10"/>
      <c r="CE28" s="5"/>
      <c r="CF28" s="10"/>
      <c r="CG28" s="5"/>
      <c r="CH28" s="2"/>
      <c r="CI28" s="2"/>
      <c r="CJ28" s="2"/>
    </row>
    <row r="29" spans="1:88" ht="12.75">
      <c r="A29" s="2"/>
      <c r="B29" s="2"/>
      <c r="C29" s="1"/>
      <c r="D29" s="6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10"/>
      <c r="CE29" s="5"/>
      <c r="CF29" s="10"/>
      <c r="CG29" s="5"/>
      <c r="CH29" s="47"/>
      <c r="CI29" s="47"/>
      <c r="CJ29" s="47"/>
    </row>
    <row r="30" spans="1:88" ht="12.75">
      <c r="A30" s="2"/>
      <c r="B30" s="2"/>
      <c r="C30" s="1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1"/>
      <c r="CI30" s="1"/>
      <c r="CJ30" s="1"/>
    </row>
    <row r="31" spans="1:88" ht="12.75">
      <c r="A31" s="2"/>
      <c r="B31" s="2"/>
      <c r="C31" s="1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1"/>
      <c r="CI31" s="1"/>
      <c r="CJ31" s="1"/>
    </row>
    <row r="32" spans="1:88" ht="12.75">
      <c r="A32" s="2"/>
      <c r="B32" s="2"/>
      <c r="C32" s="1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1"/>
      <c r="CI32" s="1"/>
      <c r="CJ32" s="1"/>
    </row>
    <row r="33" spans="1:88" ht="12.75">
      <c r="A33" s="2"/>
      <c r="B33" s="2"/>
      <c r="C33" s="1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2"/>
      <c r="CI33" s="2"/>
      <c r="CJ33" s="2"/>
    </row>
    <row r="34" spans="1:88" ht="12.75">
      <c r="A34" s="2"/>
      <c r="B34" s="2"/>
      <c r="C34" s="1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10"/>
      <c r="CE34" s="5"/>
      <c r="CF34" s="10"/>
      <c r="CG34" s="5"/>
      <c r="CH34" s="2"/>
      <c r="CI34" s="2"/>
      <c r="CJ34" s="2"/>
    </row>
    <row r="35" spans="1:88" ht="12.75">
      <c r="A35" s="2"/>
      <c r="B35" s="2"/>
      <c r="C35" s="1"/>
      <c r="D35" s="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1"/>
      <c r="CI35" s="1"/>
      <c r="CJ35" s="1"/>
    </row>
    <row r="36" spans="1:88" ht="12.75">
      <c r="A36" s="2"/>
      <c r="B36" s="2"/>
      <c r="C36" s="1"/>
      <c r="D36" s="6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10"/>
      <c r="CE36" s="5"/>
      <c r="CF36" s="10"/>
      <c r="CG36" s="5"/>
      <c r="CH36" s="2"/>
      <c r="CI36" s="2"/>
      <c r="CJ36" s="2"/>
    </row>
    <row r="37" spans="1:88" ht="12.75">
      <c r="A37" s="2"/>
      <c r="B37" s="2"/>
      <c r="C37" s="1"/>
      <c r="D37" s="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1"/>
      <c r="CI37" s="1"/>
      <c r="CJ37" s="1"/>
    </row>
    <row r="38" spans="1:88" ht="12.75">
      <c r="A38" s="2"/>
      <c r="B38" s="2"/>
      <c r="C38" s="1"/>
      <c r="D38" s="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1"/>
      <c r="CI38" s="1"/>
      <c r="CJ38" s="1"/>
    </row>
    <row r="39" spans="1:88" ht="12.75">
      <c r="A39" s="2"/>
      <c r="B39" s="2"/>
      <c r="C39" s="1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10"/>
      <c r="CE39" s="5"/>
      <c r="CF39" s="10"/>
      <c r="CG39" s="5"/>
      <c r="CH39" s="2"/>
      <c r="CI39" s="2"/>
      <c r="CJ39" s="2"/>
    </row>
    <row r="40" spans="1:88" ht="12.75">
      <c r="A40" s="2"/>
      <c r="B40" s="2"/>
      <c r="C40" s="1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10"/>
      <c r="CE40" s="5"/>
      <c r="CF40" s="10"/>
      <c r="CG40" s="5"/>
      <c r="CH40" s="2"/>
      <c r="CI40" s="2"/>
      <c r="CJ40" s="2"/>
    </row>
    <row r="41" spans="1:88" ht="12.75">
      <c r="A41" s="2"/>
      <c r="B41" s="2"/>
      <c r="C41" s="1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10"/>
      <c r="CE41" s="5"/>
      <c r="CF41" s="10"/>
      <c r="CG41" s="5"/>
      <c r="CH41" s="2"/>
      <c r="CI41" s="2"/>
      <c r="CJ41" s="2"/>
    </row>
    <row r="42" spans="1:88" ht="12.75">
      <c r="A42" s="2"/>
      <c r="B42" s="2"/>
      <c r="C42" s="1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10"/>
      <c r="CE42" s="5"/>
      <c r="CF42" s="10"/>
      <c r="CG42" s="5"/>
      <c r="CH42" s="2"/>
      <c r="CI42" s="2"/>
      <c r="CJ42" s="2"/>
    </row>
    <row r="43" spans="1:88" ht="12.75">
      <c r="A43" s="2"/>
      <c r="B43" s="2"/>
      <c r="C43" s="1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10"/>
      <c r="CE43" s="5"/>
      <c r="CF43" s="10"/>
      <c r="CG43" s="5"/>
      <c r="CH43" s="2"/>
      <c r="CI43" s="2"/>
      <c r="CJ43" s="2"/>
    </row>
    <row r="44" spans="1:88" ht="12.75">
      <c r="A44" s="2"/>
      <c r="B44" s="2"/>
      <c r="C44" s="1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10"/>
      <c r="CE44" s="5"/>
      <c r="CF44" s="10"/>
      <c r="CG44" s="5"/>
      <c r="CH44" s="2"/>
      <c r="CI44" s="2"/>
      <c r="CJ44" s="2"/>
    </row>
    <row r="45" spans="1:88" ht="12.75">
      <c r="A45" s="2"/>
      <c r="B45" s="2"/>
      <c r="C45" s="1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2"/>
      <c r="BZ45" s="5"/>
      <c r="CA45" s="5"/>
      <c r="CB45" s="5"/>
      <c r="CC45" s="5"/>
      <c r="CD45" s="5"/>
      <c r="CE45" s="5"/>
      <c r="CF45" s="5"/>
      <c r="CG45" s="5"/>
      <c r="CH45" s="1"/>
      <c r="CI45" s="1"/>
      <c r="CJ45" s="1"/>
    </row>
    <row r="46" spans="1:88" ht="12.75">
      <c r="A46" s="2"/>
      <c r="B46" s="2"/>
      <c r="C46" s="1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2"/>
      <c r="BZ46" s="5"/>
      <c r="CA46" s="5"/>
      <c r="CB46" s="5"/>
      <c r="CC46" s="5"/>
      <c r="CD46" s="73"/>
      <c r="CE46" s="5"/>
      <c r="CF46" s="5"/>
      <c r="CG46" s="5"/>
      <c r="CH46" s="1"/>
      <c r="CI46" s="1"/>
      <c r="CJ46" s="1"/>
    </row>
    <row r="47" spans="1:88" ht="12.75">
      <c r="A47" s="2"/>
      <c r="B47" s="2"/>
      <c r="C47" s="1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2"/>
      <c r="BZ47" s="5"/>
      <c r="CA47" s="5"/>
      <c r="CB47" s="5"/>
      <c r="CC47" s="5"/>
      <c r="CD47" s="5"/>
      <c r="CE47" s="5"/>
      <c r="CF47" s="5"/>
      <c r="CG47" s="5"/>
      <c r="CH47" s="1"/>
      <c r="CI47" s="1"/>
      <c r="CJ47" s="1"/>
    </row>
    <row r="48" spans="1:88" ht="12.75">
      <c r="A48" s="2"/>
      <c r="B48" s="2"/>
      <c r="C48" s="1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2"/>
      <c r="BZ48" s="5"/>
      <c r="CA48" s="5"/>
      <c r="CB48" s="5"/>
      <c r="CC48" s="5"/>
      <c r="CD48" s="5"/>
      <c r="CE48" s="5"/>
      <c r="CF48" s="5"/>
      <c r="CG48" s="5"/>
      <c r="CH48" s="1"/>
      <c r="CI48" s="1"/>
      <c r="CJ48" s="1"/>
    </row>
    <row r="49" spans="1:88" ht="12.75">
      <c r="A49" s="2"/>
      <c r="B49" s="2"/>
      <c r="C49" s="1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2"/>
      <c r="BZ49" s="5"/>
      <c r="CA49" s="5"/>
      <c r="CB49" s="5"/>
      <c r="CC49" s="5"/>
      <c r="CD49" s="5"/>
      <c r="CE49" s="5"/>
      <c r="CF49" s="5"/>
      <c r="CG49" s="5"/>
      <c r="CH49" s="1"/>
      <c r="CI49" s="1"/>
      <c r="CJ49" s="1"/>
    </row>
    <row r="50" spans="1:88" ht="12.75">
      <c r="A50" s="2"/>
      <c r="B50" s="2"/>
      <c r="C50" s="1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2"/>
      <c r="BZ50" s="5"/>
      <c r="CA50" s="5"/>
      <c r="CB50" s="5"/>
      <c r="CC50" s="5"/>
      <c r="CD50" s="5"/>
      <c r="CE50" s="5"/>
      <c r="CF50" s="5"/>
      <c r="CG50" s="5"/>
      <c r="CH50" s="1"/>
      <c r="CI50" s="1"/>
      <c r="CJ50" s="1"/>
    </row>
    <row r="51" spans="1:88" ht="12.75">
      <c r="A51" s="2"/>
      <c r="B51" s="2"/>
      <c r="C51" s="1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10"/>
      <c r="CE51" s="5"/>
      <c r="CF51" s="10"/>
      <c r="CG51" s="5"/>
      <c r="CH51" s="2"/>
      <c r="CI51" s="2"/>
      <c r="CJ51" s="2"/>
    </row>
    <row r="52" spans="1:88" ht="12.75">
      <c r="A52" s="2"/>
      <c r="B52" s="2"/>
      <c r="C52" s="1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10"/>
      <c r="CE52" s="5"/>
      <c r="CF52" s="10"/>
      <c r="CG52" s="5"/>
      <c r="CH52" s="2"/>
      <c r="CI52" s="2"/>
      <c r="CJ52" s="2"/>
    </row>
    <row r="53" spans="1:88" ht="12.75">
      <c r="A53" s="2"/>
      <c r="B53" s="2"/>
      <c r="C53" s="1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10"/>
      <c r="CE53" s="5"/>
      <c r="CF53" s="10"/>
      <c r="CG53" s="5"/>
      <c r="CH53" s="2"/>
      <c r="CI53" s="2"/>
      <c r="CJ53" s="2"/>
    </row>
    <row r="54" spans="1:88" ht="12.75">
      <c r="A54" s="2"/>
      <c r="B54" s="2"/>
      <c r="C54" s="1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10"/>
      <c r="CE54" s="5"/>
      <c r="CF54" s="10"/>
      <c r="CG54" s="5"/>
      <c r="CH54" s="2"/>
      <c r="CI54" s="2"/>
      <c r="CJ54" s="2"/>
    </row>
    <row r="55" spans="1:88" ht="12.75">
      <c r="A55" s="2"/>
      <c r="B55" s="2"/>
      <c r="C55" s="1"/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1"/>
      <c r="CI55" s="1"/>
      <c r="CJ55" s="1"/>
    </row>
    <row r="56" spans="1:88" ht="12.75">
      <c r="A56" s="2"/>
      <c r="B56" s="2"/>
      <c r="C56" s="1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10"/>
      <c r="CE56" s="5"/>
      <c r="CF56" s="10"/>
      <c r="CG56" s="5"/>
      <c r="CH56" s="2"/>
      <c r="CI56" s="2"/>
      <c r="CJ56" s="2"/>
    </row>
    <row r="57" spans="1:88" ht="12.75">
      <c r="A57" s="2"/>
      <c r="B57" s="2"/>
      <c r="C57" s="1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10"/>
      <c r="CE57" s="5"/>
      <c r="CF57" s="10"/>
      <c r="CG57" s="5"/>
      <c r="CH57" s="2"/>
      <c r="CI57" s="2"/>
      <c r="CJ57" s="2"/>
    </row>
    <row r="58" spans="1:88" ht="12.75">
      <c r="A58" s="2"/>
      <c r="B58" s="2"/>
      <c r="C58" s="1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10"/>
      <c r="CE58" s="5"/>
      <c r="CF58" s="10"/>
      <c r="CG58" s="5"/>
      <c r="CH58" s="2"/>
      <c r="CI58" s="2"/>
      <c r="CJ58" s="2"/>
    </row>
    <row r="59" spans="1:88" ht="12.75">
      <c r="A59" s="2"/>
      <c r="B59" s="2"/>
      <c r="C59" s="1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10"/>
      <c r="CE59" s="5"/>
      <c r="CF59" s="10"/>
      <c r="CG59" s="5"/>
      <c r="CH59" s="2"/>
      <c r="CI59" s="2"/>
      <c r="CJ59" s="2"/>
    </row>
    <row r="60" spans="1:88" ht="12.75">
      <c r="A60" s="2"/>
      <c r="B60" s="2"/>
      <c r="C60" s="1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2"/>
      <c r="BZ60" s="5"/>
      <c r="CA60" s="5"/>
      <c r="CB60" s="5"/>
      <c r="CC60" s="5"/>
      <c r="CD60" s="10"/>
      <c r="CE60" s="5"/>
      <c r="CF60" s="10"/>
      <c r="CG60" s="5"/>
      <c r="CH60" s="2"/>
      <c r="CI60" s="2"/>
      <c r="CJ60" s="2"/>
    </row>
    <row r="61" spans="1:88" ht="12.75">
      <c r="A61" s="2"/>
      <c r="B61" s="2"/>
      <c r="C61" s="1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2"/>
      <c r="BZ61" s="5"/>
      <c r="CA61" s="5"/>
      <c r="CB61" s="5"/>
      <c r="CC61" s="5"/>
      <c r="CD61" s="10"/>
      <c r="CE61" s="5"/>
      <c r="CF61" s="10"/>
      <c r="CG61" s="5"/>
      <c r="CH61" s="2"/>
      <c r="CI61" s="2"/>
      <c r="CJ61" s="2"/>
    </row>
    <row r="62" spans="1:88" ht="12.75">
      <c r="A62" s="2"/>
      <c r="B62" s="2"/>
      <c r="C62" s="1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2"/>
      <c r="BZ62" s="5"/>
      <c r="CA62" s="5"/>
      <c r="CB62" s="5"/>
      <c r="CC62" s="5"/>
      <c r="CD62" s="10"/>
      <c r="CE62" s="5"/>
      <c r="CF62" s="10"/>
      <c r="CG62" s="5"/>
      <c r="CH62" s="2"/>
      <c r="CI62" s="2"/>
      <c r="CJ62" s="2"/>
    </row>
    <row r="63" spans="1:88" ht="12.75">
      <c r="A63" s="2"/>
      <c r="B63" s="2"/>
      <c r="C63" s="1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2"/>
      <c r="BZ63" s="5"/>
      <c r="CA63" s="5"/>
      <c r="CB63" s="5"/>
      <c r="CC63" s="5"/>
      <c r="CD63" s="10"/>
      <c r="CE63" s="5"/>
      <c r="CF63" s="10"/>
      <c r="CG63" s="5"/>
      <c r="CH63" s="2"/>
      <c r="CI63" s="2"/>
      <c r="CJ63" s="2"/>
    </row>
    <row r="64" spans="1:88" ht="12.75">
      <c r="A64" s="2"/>
      <c r="B64" s="2"/>
      <c r="C64" s="1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2"/>
      <c r="BZ64" s="5"/>
      <c r="CA64" s="5"/>
      <c r="CB64" s="5"/>
      <c r="CC64" s="5"/>
      <c r="CD64" s="10"/>
      <c r="CE64" s="5"/>
      <c r="CF64" s="10"/>
      <c r="CG64" s="5"/>
      <c r="CH64" s="2"/>
      <c r="CI64" s="2"/>
      <c r="CJ64" s="2"/>
    </row>
    <row r="65" spans="1:88" ht="12.75">
      <c r="A65" s="2"/>
      <c r="B65" s="2"/>
      <c r="C65" s="1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2"/>
      <c r="BZ65" s="5"/>
      <c r="CA65" s="5"/>
      <c r="CB65" s="5"/>
      <c r="CC65" s="5"/>
      <c r="CD65" s="10"/>
      <c r="CE65" s="5"/>
      <c r="CF65" s="10"/>
      <c r="CG65" s="5"/>
      <c r="CH65" s="2"/>
      <c r="CI65" s="2"/>
      <c r="CJ65" s="2"/>
    </row>
    <row r="66" spans="1:88" ht="12.75">
      <c r="A66" s="2"/>
      <c r="B66" s="2"/>
      <c r="C66" s="1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2"/>
      <c r="BZ66" s="5"/>
      <c r="CA66" s="5"/>
      <c r="CB66" s="5"/>
      <c r="CC66" s="5"/>
      <c r="CD66" s="10"/>
      <c r="CE66" s="5"/>
      <c r="CF66" s="10"/>
      <c r="CG66" s="5"/>
      <c r="CH66" s="2"/>
      <c r="CI66" s="2"/>
      <c r="CJ66" s="2"/>
    </row>
    <row r="67" spans="1:88" ht="12.75">
      <c r="A67" s="2"/>
      <c r="B67" s="2"/>
      <c r="C67" s="1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2"/>
      <c r="BZ67" s="5"/>
      <c r="CA67" s="5"/>
      <c r="CB67" s="5"/>
      <c r="CC67" s="5"/>
      <c r="CD67" s="10"/>
      <c r="CE67" s="5"/>
      <c r="CF67" s="10"/>
      <c r="CG67" s="5"/>
      <c r="CH67" s="2"/>
      <c r="CI67" s="2"/>
      <c r="CJ67" s="2"/>
    </row>
    <row r="68" spans="1:88" ht="12.75">
      <c r="A68" s="2"/>
      <c r="B68" s="2"/>
      <c r="C68" s="1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2"/>
      <c r="BZ68" s="5"/>
      <c r="CA68" s="5"/>
      <c r="CB68" s="5"/>
      <c r="CC68" s="5"/>
      <c r="CD68" s="10"/>
      <c r="CE68" s="5"/>
      <c r="CF68" s="10"/>
      <c r="CG68" s="5"/>
      <c r="CH68" s="2"/>
      <c r="CI68" s="2"/>
      <c r="CJ68" s="2"/>
    </row>
    <row r="69" spans="1:88" ht="12.75">
      <c r="A69" s="2"/>
      <c r="B69" s="2"/>
      <c r="C69" s="1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2"/>
      <c r="BZ69" s="5"/>
      <c r="CA69" s="5"/>
      <c r="CB69" s="5"/>
      <c r="CC69" s="5"/>
      <c r="CD69" s="10"/>
      <c r="CE69" s="5"/>
      <c r="CF69" s="10"/>
      <c r="CG69" s="5"/>
      <c r="CH69" s="2"/>
      <c r="CI69" s="2"/>
      <c r="CJ69" s="2"/>
    </row>
    <row r="70" spans="1:88" ht="12.75">
      <c r="A70" s="2"/>
      <c r="B70" s="2"/>
      <c r="C70" s="1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2"/>
      <c r="BZ70" s="5"/>
      <c r="CA70" s="5"/>
      <c r="CB70" s="5"/>
      <c r="CC70" s="5"/>
      <c r="CD70" s="5"/>
      <c r="CE70" s="5"/>
      <c r="CF70" s="5"/>
      <c r="CG70" s="5"/>
      <c r="CH70" s="1"/>
      <c r="CI70" s="1"/>
      <c r="CJ70" s="1"/>
    </row>
    <row r="71" spans="1:88" ht="12.75">
      <c r="A71" s="2"/>
      <c r="B71" s="2"/>
      <c r="C71" s="1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2"/>
      <c r="BZ71" s="5"/>
      <c r="CA71" s="5"/>
      <c r="CB71" s="5"/>
      <c r="CC71" s="5"/>
      <c r="CD71" s="5"/>
      <c r="CE71" s="5"/>
      <c r="CF71" s="5"/>
      <c r="CG71" s="5"/>
      <c r="CH71" s="1"/>
      <c r="CI71" s="1"/>
      <c r="CJ71" s="1"/>
    </row>
    <row r="72" spans="1:88" ht="12.75">
      <c r="A72" s="2"/>
      <c r="B72" s="2"/>
      <c r="C72" s="1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2"/>
      <c r="BZ72" s="5"/>
      <c r="CA72" s="5"/>
      <c r="CB72" s="5"/>
      <c r="CC72" s="5"/>
      <c r="CD72" s="5"/>
      <c r="CE72" s="5"/>
      <c r="CF72" s="5"/>
      <c r="CG72" s="5"/>
      <c r="CH72" s="1"/>
      <c r="CI72" s="1"/>
      <c r="CJ72" s="1"/>
    </row>
    <row r="73" spans="1:88" ht="12.75">
      <c r="A73" s="2"/>
      <c r="B73" s="2"/>
      <c r="C73" s="1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2"/>
      <c r="BZ73" s="5"/>
      <c r="CA73" s="5"/>
      <c r="CB73" s="5"/>
      <c r="CC73" s="5"/>
      <c r="CD73" s="5"/>
      <c r="CE73" s="5"/>
      <c r="CF73" s="5"/>
      <c r="CG73" s="5"/>
      <c r="CH73" s="1"/>
      <c r="CI73" s="1"/>
      <c r="CJ73" s="1"/>
    </row>
    <row r="74" spans="1:88" ht="12.75">
      <c r="A74" s="2"/>
      <c r="B74" s="2"/>
      <c r="C74" s="1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2"/>
      <c r="BZ74" s="5"/>
      <c r="CA74" s="5"/>
      <c r="CB74" s="5"/>
      <c r="CC74" s="5"/>
      <c r="CD74" s="5"/>
      <c r="CE74" s="5"/>
      <c r="CF74" s="5"/>
      <c r="CG74" s="5"/>
      <c r="CH74" s="1"/>
      <c r="CI74" s="1"/>
      <c r="CJ74" s="1"/>
    </row>
    <row r="75" spans="1:88" ht="12.75">
      <c r="A75" s="2"/>
      <c r="B75" s="2"/>
      <c r="C75" s="1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1"/>
      <c r="CI75" s="1"/>
      <c r="CJ75" s="1"/>
    </row>
    <row r="76" spans="1:88" ht="12.75">
      <c r="A76" s="2"/>
      <c r="B76" s="2"/>
      <c r="C76" s="1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1"/>
      <c r="CI76" s="1"/>
      <c r="CJ76" s="1"/>
    </row>
    <row r="77" spans="1:88" ht="12.75">
      <c r="A77" s="2"/>
      <c r="B77" s="2"/>
      <c r="C77" s="1"/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1"/>
      <c r="CI77" s="1"/>
      <c r="CJ77" s="1"/>
    </row>
    <row r="78" spans="1:88" ht="12.75">
      <c r="A78" s="2"/>
      <c r="B78" s="2"/>
      <c r="C78" s="1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10"/>
      <c r="CE78" s="5"/>
      <c r="CF78" s="10"/>
      <c r="CG78" s="5"/>
      <c r="CH78" s="2"/>
      <c r="CI78" s="2"/>
      <c r="CJ78" s="2"/>
    </row>
    <row r="79" spans="1:88" ht="12.75">
      <c r="A79" s="2"/>
      <c r="B79" s="2"/>
      <c r="C79" s="1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10"/>
      <c r="CE79" s="5"/>
      <c r="CF79" s="10"/>
      <c r="CG79" s="5"/>
      <c r="CH79" s="2"/>
      <c r="CI79" s="2"/>
      <c r="CJ79" s="2"/>
    </row>
    <row r="80" spans="1:88" ht="12.75">
      <c r="A80" s="2"/>
      <c r="B80" s="2"/>
      <c r="C80" s="1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1"/>
      <c r="CI80" s="1"/>
      <c r="CJ80" s="1"/>
    </row>
    <row r="81" spans="1:88" ht="12.75">
      <c r="A81" s="2"/>
      <c r="B81" s="2"/>
      <c r="C81" s="1"/>
      <c r="D81" s="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1"/>
      <c r="CI81" s="1"/>
      <c r="CJ81" s="1"/>
    </row>
    <row r="82" spans="1:88" ht="12.75">
      <c r="A82" s="2"/>
      <c r="B82" s="2"/>
      <c r="C82" s="1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1"/>
      <c r="CI82" s="1"/>
      <c r="CJ82" s="1"/>
    </row>
    <row r="83" spans="1:88" ht="12.75">
      <c r="A83" s="2"/>
      <c r="B83" s="2"/>
      <c r="C83" s="1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1"/>
      <c r="CI83" s="1"/>
      <c r="CJ83" s="1"/>
    </row>
    <row r="84" spans="1:88" ht="12.75">
      <c r="A84" s="2"/>
      <c r="B84" s="2"/>
      <c r="C84" s="1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73"/>
      <c r="CE84" s="5"/>
      <c r="CF84" s="5"/>
      <c r="CG84" s="5"/>
      <c r="CH84" s="1"/>
      <c r="CI84" s="1"/>
      <c r="CJ84" s="1"/>
    </row>
    <row r="85" spans="1:88" ht="12.75">
      <c r="A85" s="2"/>
      <c r="B85" s="2"/>
      <c r="C85" s="1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10"/>
      <c r="CE85" s="5"/>
      <c r="CF85" s="10"/>
      <c r="CG85" s="5"/>
      <c r="CH85" s="2"/>
      <c r="CI85" s="2"/>
      <c r="CJ85" s="2"/>
    </row>
    <row r="86" spans="1:88" ht="12.75">
      <c r="A86" s="2"/>
      <c r="B86" s="2"/>
      <c r="C86" s="1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10"/>
      <c r="CE86" s="5"/>
      <c r="CF86" s="10"/>
      <c r="CG86" s="5"/>
      <c r="CH86" s="2"/>
      <c r="CI86" s="2"/>
      <c r="CJ86" s="2"/>
    </row>
    <row r="87" spans="1:88" ht="12.75">
      <c r="A87" s="2"/>
      <c r="B87" s="2"/>
      <c r="C87" s="1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10"/>
      <c r="CE87" s="5"/>
      <c r="CF87" s="10"/>
      <c r="CG87" s="5"/>
      <c r="CH87" s="2"/>
      <c r="CI87" s="2"/>
      <c r="CJ87" s="2"/>
    </row>
    <row r="88" spans="1:88" ht="12.75">
      <c r="A88" s="2"/>
      <c r="B88" s="2"/>
      <c r="C88" s="1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10"/>
      <c r="CE88" s="5"/>
      <c r="CF88" s="10"/>
      <c r="CG88" s="5"/>
      <c r="CH88" s="2"/>
      <c r="CI88" s="2"/>
      <c r="CJ88" s="2"/>
    </row>
    <row r="89" spans="1:88" ht="12.75">
      <c r="A89" s="2"/>
      <c r="B89" s="2"/>
      <c r="C89" s="2"/>
      <c r="D89" s="4"/>
      <c r="E89" s="5"/>
      <c r="F89" s="5"/>
      <c r="G89" s="5"/>
      <c r="H89" s="5"/>
      <c r="I89" s="10"/>
      <c r="J89" s="10"/>
      <c r="K89" s="10"/>
      <c r="L89" s="5"/>
      <c r="M89" s="5"/>
      <c r="N89" s="10"/>
      <c r="O89" s="10"/>
      <c r="P89" s="10"/>
      <c r="Q89" s="5"/>
      <c r="R89" s="10"/>
      <c r="S89" s="10"/>
      <c r="T89" s="10"/>
      <c r="U89" s="5"/>
      <c r="V89" s="5"/>
      <c r="W89" s="5"/>
      <c r="X89" s="5"/>
      <c r="Y89" s="10"/>
      <c r="Z89" s="5"/>
      <c r="AA89" s="5"/>
      <c r="AB89" s="5"/>
      <c r="AC89" s="5"/>
      <c r="AD89" s="10"/>
      <c r="AE89" s="5"/>
      <c r="AF89" s="5"/>
      <c r="AG89" s="5"/>
      <c r="AH89" s="10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10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10"/>
      <c r="CE89" s="5"/>
      <c r="CF89" s="10"/>
      <c r="CG89" s="5"/>
      <c r="CH89" s="2"/>
      <c r="CI89" s="2"/>
      <c r="CJ89" s="2"/>
    </row>
    <row r="90" spans="1:88" ht="12.75">
      <c r="A90" s="2"/>
      <c r="B90" s="2"/>
      <c r="C90" s="1"/>
      <c r="D90" s="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1"/>
      <c r="CI90" s="1"/>
      <c r="CJ90" s="1"/>
    </row>
    <row r="91" spans="1:88" ht="12.75">
      <c r="A91" s="2"/>
      <c r="B91" s="2"/>
      <c r="C91" s="1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1"/>
      <c r="CI91" s="1"/>
      <c r="CJ91" s="1"/>
    </row>
    <row r="92" spans="1:88" ht="12.75">
      <c r="A92" s="2"/>
      <c r="B92" s="2"/>
      <c r="C92" s="1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1"/>
      <c r="CI92" s="1"/>
      <c r="CJ92" s="1"/>
    </row>
    <row r="93" spans="1:88" ht="12.75">
      <c r="A93" s="2"/>
      <c r="B93" s="2"/>
      <c r="C93" s="1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10"/>
      <c r="CE93" s="5"/>
      <c r="CF93" s="10"/>
      <c r="CG93" s="5"/>
      <c r="CH93" s="2"/>
      <c r="CI93" s="2"/>
      <c r="CJ93" s="2"/>
    </row>
    <row r="94" spans="1:88" ht="12.75">
      <c r="A94" s="2"/>
      <c r="B94" s="2"/>
      <c r="C94" s="1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10"/>
      <c r="CE94" s="5"/>
      <c r="CF94" s="10"/>
      <c r="CG94" s="5"/>
      <c r="CH94" s="2"/>
      <c r="CI94" s="2"/>
      <c r="CJ94" s="2"/>
    </row>
    <row r="95" spans="1:88" ht="12.75">
      <c r="A95" s="2"/>
      <c r="B95" s="2"/>
      <c r="C95" s="1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10"/>
      <c r="CE95" s="5"/>
      <c r="CF95" s="10"/>
      <c r="CG95" s="5"/>
      <c r="CH95" s="2"/>
      <c r="CI95" s="2"/>
      <c r="CJ95" s="2"/>
    </row>
    <row r="96" spans="1:88" ht="12.75">
      <c r="A96" s="2"/>
      <c r="B96" s="2"/>
      <c r="C96" s="1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1"/>
      <c r="CI96" s="1"/>
      <c r="CJ96" s="1"/>
    </row>
    <row r="97" spans="1:88" ht="12.75">
      <c r="A97" s="2"/>
      <c r="B97" s="2"/>
      <c r="C97" s="1"/>
      <c r="D97" s="6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10"/>
      <c r="CE97" s="5"/>
      <c r="CF97" s="10"/>
      <c r="CG97" s="5"/>
      <c r="CH97" s="2"/>
      <c r="CI97" s="2"/>
      <c r="CJ97" s="2"/>
    </row>
    <row r="98" spans="1:88" ht="12.75">
      <c r="A98" s="2"/>
      <c r="B98" s="2"/>
      <c r="C98" s="1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1"/>
      <c r="CI98" s="1"/>
      <c r="CJ98" s="1"/>
    </row>
    <row r="99" spans="1:88" ht="12.75">
      <c r="A99" s="2"/>
      <c r="B99" s="2"/>
      <c r="C99" s="1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1"/>
      <c r="CI99" s="1"/>
      <c r="CJ99" s="1"/>
    </row>
    <row r="100" spans="1:88" ht="12.75">
      <c r="A100" s="2"/>
      <c r="B100" s="2"/>
      <c r="C100" s="1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1"/>
      <c r="CI100" s="1"/>
      <c r="CJ100" s="1"/>
    </row>
    <row r="101" spans="1:88" ht="12.75">
      <c r="A101" s="2"/>
      <c r="B101" s="2"/>
      <c r="C101" s="1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1"/>
      <c r="CI101" s="1"/>
      <c r="CJ101" s="1"/>
    </row>
    <row r="102" spans="1:88" ht="12.75">
      <c r="A102" s="2"/>
      <c r="B102" s="2"/>
      <c r="C102" s="1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1"/>
      <c r="CI102" s="1"/>
      <c r="CJ102" s="1"/>
    </row>
    <row r="103" spans="1:88" ht="12.75">
      <c r="A103" s="2"/>
      <c r="B103" s="2"/>
      <c r="C103" s="1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1"/>
      <c r="CI103" s="1"/>
      <c r="CJ103" s="1"/>
    </row>
    <row r="104" spans="1:88" ht="12.75">
      <c r="A104" s="2"/>
      <c r="B104" s="2"/>
      <c r="C104" s="1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1"/>
      <c r="CI104" s="1"/>
      <c r="CJ104" s="1"/>
    </row>
    <row r="105" spans="1:88" ht="12.75">
      <c r="A105" s="2"/>
      <c r="B105" s="2"/>
      <c r="C105" s="1"/>
      <c r="D105" s="6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10"/>
      <c r="CE105" s="5"/>
      <c r="CF105" s="10"/>
      <c r="CG105" s="5"/>
      <c r="CH105" s="2"/>
      <c r="CI105" s="2"/>
      <c r="CJ105" s="2"/>
    </row>
    <row r="106" spans="1:88" ht="12.75">
      <c r="A106" s="2"/>
      <c r="B106" s="2"/>
      <c r="C106" s="1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1"/>
      <c r="CI106" s="1"/>
      <c r="CJ106" s="1"/>
    </row>
    <row r="107" spans="1:88" ht="12.75">
      <c r="A107" s="2"/>
      <c r="B107" s="2"/>
      <c r="C107" s="1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1"/>
      <c r="CI107" s="1"/>
      <c r="CJ107" s="1"/>
    </row>
    <row r="108" spans="1:88" ht="12.75">
      <c r="A108" s="2"/>
      <c r="B108" s="2"/>
      <c r="C108" s="1"/>
      <c r="D108" s="6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10"/>
      <c r="CE108" s="5"/>
      <c r="CF108" s="10"/>
      <c r="CG108" s="5"/>
      <c r="CH108" s="2"/>
      <c r="CI108" s="2"/>
      <c r="CJ108" s="2"/>
    </row>
    <row r="109" spans="1:88" ht="12.75">
      <c r="A109" s="2"/>
      <c r="B109" s="2"/>
      <c r="C109" s="1"/>
      <c r="D109" s="6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10"/>
      <c r="CE109" s="5"/>
      <c r="CF109" s="10"/>
      <c r="CG109" s="5"/>
      <c r="CH109" s="2"/>
      <c r="CI109" s="2"/>
      <c r="CJ109" s="2"/>
    </row>
    <row r="110" spans="1:88" ht="12.75">
      <c r="A110" s="2"/>
      <c r="B110" s="2"/>
      <c r="C110" s="1"/>
      <c r="D110" s="6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10"/>
      <c r="CE110" s="5"/>
      <c r="CF110" s="10"/>
      <c r="CG110" s="5"/>
      <c r="CH110" s="2"/>
      <c r="CI110" s="2"/>
      <c r="CJ110" s="2"/>
    </row>
    <row r="111" spans="1:88" ht="12.75">
      <c r="A111" s="2"/>
      <c r="B111" s="2"/>
      <c r="C111" s="1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10"/>
      <c r="CE111" s="5"/>
      <c r="CF111" s="10"/>
      <c r="CG111" s="5"/>
      <c r="CH111" s="2"/>
      <c r="CI111" s="2"/>
      <c r="CJ111" s="2"/>
    </row>
    <row r="112" spans="1:88" ht="12.75">
      <c r="A112" s="2"/>
      <c r="B112" s="2"/>
      <c r="C112" s="1"/>
      <c r="D112" s="6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10"/>
      <c r="CE112" s="5"/>
      <c r="CF112" s="10"/>
      <c r="CG112" s="5"/>
      <c r="CH112" s="2"/>
      <c r="CI112" s="2"/>
      <c r="CJ112" s="2"/>
    </row>
    <row r="113" spans="1:88" ht="12.75">
      <c r="A113" s="2"/>
      <c r="B113" s="2"/>
      <c r="C113" s="1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73"/>
      <c r="BL113" s="73"/>
      <c r="BM113" s="79"/>
      <c r="BN113" s="79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1"/>
      <c r="CI113" s="1"/>
      <c r="CJ113" s="1"/>
    </row>
    <row r="114" spans="1:88" ht="12.75">
      <c r="A114" s="2"/>
      <c r="B114" s="2"/>
      <c r="C114" s="1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73"/>
      <c r="BL114" s="73"/>
      <c r="BM114" s="79"/>
      <c r="BN114" s="79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1"/>
      <c r="CI114" s="1"/>
      <c r="CJ114" s="1"/>
    </row>
    <row r="115" spans="1:88" ht="12.75">
      <c r="A115" s="2"/>
      <c r="B115" s="2"/>
      <c r="C115" s="1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73"/>
      <c r="BL115" s="73"/>
      <c r="BM115" s="79"/>
      <c r="BN115" s="79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1"/>
      <c r="CI115" s="1"/>
      <c r="CJ115" s="1"/>
    </row>
    <row r="116" spans="1:88" ht="12.75">
      <c r="A116" s="2"/>
      <c r="B116" s="2"/>
      <c r="C116" s="1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73"/>
      <c r="BL116" s="73"/>
      <c r="BM116" s="79"/>
      <c r="BN116" s="79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1"/>
      <c r="CI116" s="1"/>
      <c r="CJ116" s="1"/>
    </row>
    <row r="117" spans="1:88" ht="12.75">
      <c r="A117" s="2"/>
      <c r="B117" s="2"/>
      <c r="C117" s="1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73"/>
      <c r="BL117" s="73"/>
      <c r="BM117" s="79"/>
      <c r="BN117" s="79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1"/>
      <c r="CI117" s="1"/>
      <c r="CJ117" s="1"/>
    </row>
    <row r="118" spans="1:88" ht="12.75">
      <c r="A118" s="2"/>
      <c r="B118" s="2"/>
      <c r="C118" s="1"/>
      <c r="D118" s="6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10"/>
      <c r="CE118" s="5"/>
      <c r="CF118" s="10"/>
      <c r="CG118" s="5"/>
      <c r="CH118" s="2"/>
      <c r="CI118" s="2"/>
      <c r="CJ118" s="2"/>
    </row>
    <row r="119" spans="1:88" ht="12.75">
      <c r="A119" s="2"/>
      <c r="B119" s="2"/>
      <c r="C119" s="1"/>
      <c r="D119" s="6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10"/>
      <c r="CE119" s="5"/>
      <c r="CF119" s="10"/>
      <c r="CG119" s="5"/>
      <c r="CH119" s="2"/>
      <c r="CI119" s="2"/>
      <c r="CJ119" s="2"/>
    </row>
    <row r="120" spans="1:88" ht="12.75">
      <c r="A120" s="2"/>
      <c r="B120" s="2"/>
      <c r="C120" s="1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1"/>
      <c r="CI120" s="1"/>
      <c r="CJ120" s="1"/>
    </row>
    <row r="121" spans="1:88" ht="12.75">
      <c r="A121" s="2"/>
      <c r="B121" s="2"/>
      <c r="C121" s="1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1"/>
      <c r="CI121" s="1"/>
      <c r="CJ121" s="1"/>
    </row>
    <row r="122" spans="1:88" ht="12.75">
      <c r="A122" s="2"/>
      <c r="B122" s="2"/>
      <c r="C122" s="1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1"/>
      <c r="CI122" s="1"/>
      <c r="CJ122" s="1"/>
    </row>
    <row r="123" spans="1:88" ht="12.75">
      <c r="A123" s="2"/>
      <c r="B123" s="2"/>
      <c r="C123" s="1"/>
      <c r="D123" s="6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10"/>
      <c r="CE123" s="5"/>
      <c r="CF123" s="10"/>
      <c r="CG123" s="5"/>
      <c r="CH123" s="2"/>
      <c r="CI123" s="2"/>
      <c r="CJ123" s="2"/>
    </row>
    <row r="124" spans="1:88" ht="12.75">
      <c r="A124" s="2"/>
      <c r="B124" s="2"/>
      <c r="C124" s="1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1"/>
      <c r="CI124" s="1"/>
      <c r="CJ124" s="1"/>
    </row>
    <row r="125" spans="1:88" ht="12.75">
      <c r="A125" s="2"/>
      <c r="B125" s="2"/>
      <c r="C125" s="1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1"/>
      <c r="CI125" s="1"/>
      <c r="CJ125" s="1"/>
    </row>
    <row r="126" spans="1:88" ht="12.75">
      <c r="A126" s="2"/>
      <c r="B126" s="2"/>
      <c r="C126" s="1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10"/>
      <c r="CE126" s="5"/>
      <c r="CF126" s="10"/>
      <c r="CG126" s="5"/>
      <c r="CH126" s="2"/>
      <c r="CI126" s="2"/>
      <c r="CJ126" s="2"/>
    </row>
    <row r="127" spans="1:88" ht="12.75">
      <c r="A127" s="2"/>
      <c r="B127" s="2"/>
      <c r="C127" s="1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10"/>
      <c r="CE127" s="5"/>
      <c r="CF127" s="10"/>
      <c r="CG127" s="5"/>
      <c r="CH127" s="2"/>
      <c r="CI127" s="2"/>
      <c r="CJ127" s="2"/>
    </row>
    <row r="128" spans="1:88" ht="12.75">
      <c r="A128" s="2"/>
      <c r="B128" s="2"/>
      <c r="C128" s="1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10"/>
      <c r="CE128" s="5"/>
      <c r="CF128" s="10"/>
      <c r="CG128" s="5"/>
      <c r="CH128" s="2"/>
      <c r="CI128" s="2"/>
      <c r="CJ128" s="2"/>
    </row>
    <row r="129" spans="1:88" ht="12.75">
      <c r="A129" s="2"/>
      <c r="B129" s="2"/>
      <c r="C129" s="1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10"/>
      <c r="CE129" s="5"/>
      <c r="CF129" s="10"/>
      <c r="CG129" s="5"/>
      <c r="CH129" s="2"/>
      <c r="CI129" s="2"/>
      <c r="CJ129" s="2"/>
    </row>
    <row r="130" spans="1:88" ht="12.75">
      <c r="A130" s="2"/>
      <c r="B130" s="2"/>
      <c r="C130" s="1"/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1"/>
      <c r="CI130" s="1"/>
      <c r="CJ130" s="1"/>
    </row>
    <row r="131" spans="1:88" ht="12.75">
      <c r="A131" s="2"/>
      <c r="B131" s="2"/>
      <c r="C131" s="1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73"/>
      <c r="CE131" s="5"/>
      <c r="CF131" s="5"/>
      <c r="CG131" s="5"/>
      <c r="CH131" s="1"/>
      <c r="CI131" s="1"/>
      <c r="CJ131" s="1"/>
    </row>
    <row r="132" spans="1:88" ht="12.75">
      <c r="A132" s="2"/>
      <c r="B132" s="2"/>
      <c r="C132" s="1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73"/>
      <c r="CE132" s="5"/>
      <c r="CF132" s="5"/>
      <c r="CG132" s="5"/>
      <c r="CH132" s="1"/>
      <c r="CI132" s="1"/>
      <c r="CJ132" s="1"/>
    </row>
    <row r="133" spans="1:88" ht="12.75">
      <c r="A133" s="2"/>
      <c r="B133" s="2"/>
      <c r="C133" s="1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73"/>
      <c r="CE133" s="5"/>
      <c r="CF133" s="5"/>
      <c r="CG133" s="5"/>
      <c r="CH133" s="1"/>
      <c r="CI133" s="1"/>
      <c r="CJ133" s="1"/>
    </row>
    <row r="134" spans="1:88" ht="12.75">
      <c r="A134" s="2"/>
      <c r="B134" s="2"/>
      <c r="C134" s="1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73"/>
      <c r="CE134" s="5"/>
      <c r="CF134" s="5"/>
      <c r="CG134" s="5"/>
      <c r="CH134" s="1"/>
      <c r="CI134" s="1"/>
      <c r="CJ134" s="1"/>
    </row>
    <row r="135" spans="1:88" ht="12.75">
      <c r="A135" s="2"/>
      <c r="B135" s="2"/>
      <c r="C135" s="1"/>
      <c r="D135" s="6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10"/>
      <c r="CE135" s="5"/>
      <c r="CF135" s="10"/>
      <c r="CG135" s="5"/>
      <c r="CH135" s="2"/>
      <c r="CI135" s="2"/>
      <c r="CJ135" s="2"/>
    </row>
    <row r="136" spans="1:88" ht="12.75">
      <c r="A136" s="2"/>
      <c r="B136" s="2"/>
      <c r="C136" s="1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10"/>
      <c r="CE136" s="5"/>
      <c r="CF136" s="10"/>
      <c r="CG136" s="5"/>
      <c r="CH136" s="2"/>
      <c r="CI136" s="2"/>
      <c r="CJ136" s="2"/>
    </row>
    <row r="137" spans="1:88" ht="12.75">
      <c r="A137" s="2"/>
      <c r="B137" s="2"/>
      <c r="C137" s="1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10"/>
      <c r="CE137" s="5"/>
      <c r="CF137" s="10"/>
      <c r="CG137" s="5"/>
      <c r="CH137" s="2"/>
      <c r="CI137" s="2"/>
      <c r="CJ137" s="2"/>
    </row>
    <row r="138" spans="1:88" ht="12.75">
      <c r="A138" s="2"/>
      <c r="B138" s="2"/>
      <c r="C138" s="1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10"/>
      <c r="CE138" s="5"/>
      <c r="CF138" s="10"/>
      <c r="CG138" s="5"/>
      <c r="CH138" s="2"/>
      <c r="CI138" s="2"/>
      <c r="CJ138" s="2"/>
    </row>
    <row r="139" spans="1:88" ht="12.75">
      <c r="A139" s="2"/>
      <c r="B139" s="2"/>
      <c r="C139" s="1"/>
      <c r="D139" s="6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10"/>
      <c r="CE139" s="5"/>
      <c r="CF139" s="10"/>
      <c r="CG139" s="5"/>
      <c r="CH139" s="2"/>
      <c r="CI139" s="2"/>
      <c r="CJ139" s="2"/>
    </row>
    <row r="140" spans="1:88" ht="12.75">
      <c r="A140" s="2"/>
      <c r="B140" s="2"/>
      <c r="C140" s="1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1"/>
      <c r="CI140" s="1"/>
      <c r="CJ140" s="1"/>
    </row>
    <row r="141" spans="1:88" ht="12.75">
      <c r="A141" s="2"/>
      <c r="B141" s="2"/>
      <c r="C141" s="1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1"/>
      <c r="CI141" s="1"/>
      <c r="CJ141" s="1"/>
    </row>
    <row r="142" spans="1:88" ht="12.75">
      <c r="A142" s="2"/>
      <c r="B142" s="2"/>
      <c r="C142" s="1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1"/>
      <c r="CI142" s="1"/>
      <c r="CJ142" s="1"/>
    </row>
    <row r="143" spans="1:88" ht="12.75">
      <c r="A143" s="2"/>
      <c r="B143" s="2"/>
      <c r="C143" s="1"/>
      <c r="D143" s="6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10"/>
      <c r="CE143" s="5"/>
      <c r="CF143" s="10"/>
      <c r="CG143" s="5"/>
      <c r="CH143" s="2"/>
      <c r="CI143" s="2"/>
      <c r="CJ143" s="2"/>
    </row>
    <row r="144" spans="1:88" ht="12.75">
      <c r="A144" s="2"/>
      <c r="B144" s="2"/>
      <c r="C144" s="1"/>
      <c r="D144" s="6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10"/>
      <c r="CE144" s="5"/>
      <c r="CF144" s="10"/>
      <c r="CG144" s="5"/>
      <c r="CH144" s="2"/>
      <c r="CI144" s="2"/>
      <c r="CJ144" s="2"/>
    </row>
    <row r="145" spans="1:88" ht="12.75">
      <c r="A145" s="2"/>
      <c r="B145" s="2"/>
      <c r="C145" s="1"/>
      <c r="D145" s="6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10"/>
      <c r="CE145" s="5"/>
      <c r="CF145" s="10"/>
      <c r="CG145" s="5"/>
      <c r="CH145" s="2"/>
      <c r="CI145" s="2"/>
      <c r="CJ145" s="2"/>
    </row>
    <row r="146" spans="1:88" ht="12.75">
      <c r="A146" s="2"/>
      <c r="B146" s="2"/>
      <c r="C146" s="1"/>
      <c r="D146" s="6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10"/>
      <c r="CE146" s="5"/>
      <c r="CF146" s="10"/>
      <c r="CG146" s="5"/>
      <c r="CH146" s="2"/>
      <c r="CI146" s="2"/>
      <c r="CJ146" s="2"/>
    </row>
    <row r="147" spans="1:88" ht="12.75">
      <c r="A147" s="2"/>
      <c r="B147" s="2"/>
      <c r="C147" s="1"/>
      <c r="D147" s="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1"/>
      <c r="CI147" s="1"/>
      <c r="CJ147" s="1"/>
    </row>
    <row r="148" spans="1:88" ht="12.75">
      <c r="A148" s="2"/>
      <c r="B148" s="2"/>
      <c r="C148" s="1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1"/>
      <c r="CI148" s="1"/>
      <c r="CJ148" s="1"/>
    </row>
    <row r="149" spans="1:88" ht="12.75">
      <c r="A149" s="2"/>
      <c r="B149" s="2"/>
      <c r="C149" s="1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10"/>
      <c r="CG149" s="10"/>
      <c r="CH149" s="2"/>
      <c r="CI149" s="2"/>
      <c r="CJ149" s="2"/>
    </row>
    <row r="150" spans="1:88" ht="12.75">
      <c r="A150" s="2"/>
      <c r="B150" s="2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5"/>
      <c r="BJ150" s="5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2"/>
      <c r="CE150" s="1"/>
      <c r="CF150" s="2"/>
      <c r="CG150" s="2"/>
      <c r="CH150" s="2"/>
      <c r="CI150" s="2"/>
      <c r="CJ150" s="2"/>
    </row>
    <row r="151" spans="1:88" ht="12.75">
      <c r="A151" s="2"/>
      <c r="B151" s="2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5"/>
      <c r="BJ151" s="5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2"/>
      <c r="CE151" s="1"/>
      <c r="CF151" s="2"/>
      <c r="CG151" s="2"/>
      <c r="CH151" s="2"/>
      <c r="CI151" s="2"/>
      <c r="CJ151" s="2"/>
    </row>
    <row r="152" spans="1:88" ht="12.75">
      <c r="A152" s="2"/>
      <c r="B152" s="2"/>
      <c r="C152" s="1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10"/>
      <c r="CE152" s="5"/>
      <c r="CF152" s="10"/>
      <c r="CG152" s="10"/>
      <c r="CH152" s="2"/>
      <c r="CI152" s="2"/>
      <c r="CJ152" s="2"/>
    </row>
    <row r="153" spans="1:88" ht="12.75">
      <c r="A153" s="2"/>
      <c r="B153" s="2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5"/>
      <c r="BJ153" s="5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2"/>
      <c r="CE153" s="1"/>
      <c r="CF153" s="2"/>
      <c r="CG153" s="2"/>
      <c r="CH153" s="2"/>
      <c r="CI153" s="2"/>
      <c r="CJ153" s="2"/>
    </row>
    <row r="154" spans="1:88" ht="12.75">
      <c r="A154" s="2"/>
      <c r="B154" s="2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5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2"/>
      <c r="CE154" s="1"/>
      <c r="CF154" s="2"/>
      <c r="CG154" s="2"/>
      <c r="CH154" s="2"/>
      <c r="CI154" s="2"/>
      <c r="CJ154" s="2"/>
    </row>
    <row r="155" spans="1:88" ht="12.75">
      <c r="A155" s="2"/>
      <c r="B155" s="2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5"/>
      <c r="BJ155" s="5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2"/>
      <c r="CE155" s="1"/>
      <c r="CF155" s="2"/>
      <c r="CG155" s="2"/>
      <c r="CH155" s="2"/>
      <c r="CI155" s="2"/>
      <c r="CJ155" s="2"/>
    </row>
  </sheetData>
  <sheetProtection/>
  <printOptions/>
  <pageMargins left="0.2" right="0.46" top="0.23" bottom="0.23" header="0.15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4"/>
  <sheetViews>
    <sheetView zoomScale="75" zoomScaleNormal="75" zoomScalePageLayoutView="0" workbookViewId="0" topLeftCell="A1">
      <pane ySplit="5" topLeftCell="A557" activePane="bottomLeft" state="frozen"/>
      <selection pane="topLeft" activeCell="A1" sqref="A1"/>
      <selection pane="bottomLeft" activeCell="D381" sqref="D381"/>
    </sheetView>
  </sheetViews>
  <sheetFormatPr defaultColWidth="11.421875" defaultRowHeight="12.75"/>
  <cols>
    <col min="1" max="1" width="10.00390625" style="2" customWidth="1"/>
    <col min="2" max="2" width="7.57421875" style="1" customWidth="1"/>
    <col min="3" max="3" width="7.7109375" style="4" customWidth="1"/>
    <col min="4" max="4" width="68.00390625" style="2" customWidth="1"/>
    <col min="5" max="5" width="12.140625" style="5" customWidth="1"/>
    <col min="6" max="6" width="11.421875" style="5" customWidth="1"/>
    <col min="7" max="7" width="12.421875" style="72" customWidth="1"/>
    <col min="8" max="8" width="9.28125" style="44" customWidth="1"/>
    <col min="9" max="9" width="9.8515625" style="2" customWidth="1"/>
    <col min="10" max="10" width="10.28125" style="2" customWidth="1"/>
    <col min="11" max="11" width="9.140625" style="2" customWidth="1"/>
    <col min="12" max="12" width="13.140625" style="2" customWidth="1"/>
    <col min="13" max="16384" width="11.421875" style="2" customWidth="1"/>
  </cols>
  <sheetData>
    <row r="1" spans="1:8" ht="23.25">
      <c r="A1" s="85" t="s">
        <v>144</v>
      </c>
      <c r="C1" s="1"/>
      <c r="E1" s="187" t="s">
        <v>146</v>
      </c>
      <c r="F1" s="191">
        <f ca="1">TODAY()</f>
        <v>40570</v>
      </c>
      <c r="G1" s="5"/>
      <c r="H1" s="2"/>
    </row>
    <row r="2" spans="1:8" ht="6.75" customHeight="1">
      <c r="A2" s="85"/>
      <c r="C2" s="1"/>
      <c r="G2" s="5"/>
      <c r="H2" s="2"/>
    </row>
    <row r="3" spans="1:8" ht="15.75">
      <c r="A3" s="18" t="s">
        <v>291</v>
      </c>
      <c r="C3" s="1"/>
      <c r="G3" s="5"/>
      <c r="H3" s="2"/>
    </row>
    <row r="4" spans="1:8" ht="6.75" customHeight="1">
      <c r="A4" s="18"/>
      <c r="C4" s="1"/>
      <c r="G4" s="5"/>
      <c r="H4" s="2"/>
    </row>
    <row r="5" spans="1:7" ht="12.75">
      <c r="A5" s="2" t="s">
        <v>8</v>
      </c>
      <c r="B5" s="1" t="s">
        <v>9</v>
      </c>
      <c r="C5" s="4" t="s">
        <v>10</v>
      </c>
      <c r="D5" s="13" t="s">
        <v>11</v>
      </c>
      <c r="E5" s="5" t="s">
        <v>12</v>
      </c>
      <c r="F5" s="7" t="s">
        <v>13</v>
      </c>
      <c r="G5" s="73" t="s">
        <v>108</v>
      </c>
    </row>
    <row r="6" spans="1:9" s="110" customFormat="1" ht="13.5" customHeight="1">
      <c r="A6" s="164">
        <v>40196</v>
      </c>
      <c r="B6" s="127">
        <v>2</v>
      </c>
      <c r="C6" s="197" t="s">
        <v>34</v>
      </c>
      <c r="D6" s="110" t="s">
        <v>307</v>
      </c>
      <c r="E6" s="170">
        <v>30000</v>
      </c>
      <c r="F6" s="190"/>
      <c r="G6" s="168"/>
      <c r="H6" s="2"/>
      <c r="I6" s="2"/>
    </row>
    <row r="7" spans="1:9" s="110" customFormat="1" ht="13.5" customHeight="1">
      <c r="A7" s="164">
        <v>40217</v>
      </c>
      <c r="B7" s="127">
        <v>14</v>
      </c>
      <c r="C7" s="197" t="s">
        <v>34</v>
      </c>
      <c r="D7" s="110" t="s">
        <v>331</v>
      </c>
      <c r="E7" s="170">
        <v>4400</v>
      </c>
      <c r="F7" s="190"/>
      <c r="G7" s="168"/>
      <c r="H7" s="2"/>
      <c r="I7" s="2"/>
    </row>
    <row r="8" spans="1:9" s="110" customFormat="1" ht="13.5" customHeight="1">
      <c r="A8" s="164">
        <v>40220</v>
      </c>
      <c r="B8" s="127">
        <v>15</v>
      </c>
      <c r="C8" s="197" t="s">
        <v>34</v>
      </c>
      <c r="D8" s="110" t="s">
        <v>307</v>
      </c>
      <c r="E8" s="170">
        <v>31500</v>
      </c>
      <c r="F8" s="190"/>
      <c r="G8" s="168"/>
      <c r="H8" s="2"/>
      <c r="I8" s="2"/>
    </row>
    <row r="9" spans="1:9" s="110" customFormat="1" ht="13.5" customHeight="1">
      <c r="A9" s="164">
        <v>40220</v>
      </c>
      <c r="B9" s="127">
        <v>16</v>
      </c>
      <c r="C9" s="197" t="s">
        <v>34</v>
      </c>
      <c r="D9" s="110" t="s">
        <v>332</v>
      </c>
      <c r="E9" s="170">
        <v>4000</v>
      </c>
      <c r="F9" s="190"/>
      <c r="G9" s="168"/>
      <c r="H9" s="2"/>
      <c r="I9" s="2"/>
    </row>
    <row r="10" spans="1:9" s="110" customFormat="1" ht="13.5" customHeight="1">
      <c r="A10" s="164">
        <v>40221</v>
      </c>
      <c r="B10" s="127">
        <v>17</v>
      </c>
      <c r="C10" s="197" t="s">
        <v>34</v>
      </c>
      <c r="D10" s="110" t="s">
        <v>333</v>
      </c>
      <c r="E10" s="170">
        <v>5500</v>
      </c>
      <c r="F10" s="190"/>
      <c r="G10" s="168"/>
      <c r="H10" s="2"/>
      <c r="I10" s="2"/>
    </row>
    <row r="11" spans="1:9" s="110" customFormat="1" ht="13.5" customHeight="1">
      <c r="A11" s="164">
        <v>40231</v>
      </c>
      <c r="B11" s="127">
        <v>18</v>
      </c>
      <c r="C11" s="197" t="s">
        <v>34</v>
      </c>
      <c r="D11" s="110" t="s">
        <v>334</v>
      </c>
      <c r="E11" s="170">
        <v>7000</v>
      </c>
      <c r="F11" s="190"/>
      <c r="G11" s="168"/>
      <c r="H11" s="2"/>
      <c r="I11" s="2"/>
    </row>
    <row r="12" spans="1:9" s="110" customFormat="1" ht="13.5" customHeight="1">
      <c r="A12" s="164">
        <v>40240</v>
      </c>
      <c r="B12" s="127">
        <v>23</v>
      </c>
      <c r="C12" s="197" t="s">
        <v>34</v>
      </c>
      <c r="D12" s="110" t="s">
        <v>335</v>
      </c>
      <c r="E12" s="170">
        <v>24000</v>
      </c>
      <c r="F12" s="190"/>
      <c r="G12" s="168"/>
      <c r="H12" s="2"/>
      <c r="I12" s="2"/>
    </row>
    <row r="13" spans="1:9" s="110" customFormat="1" ht="13.5" customHeight="1">
      <c r="A13" s="164">
        <v>40274</v>
      </c>
      <c r="B13" s="127">
        <v>34</v>
      </c>
      <c r="C13" s="197" t="s">
        <v>34</v>
      </c>
      <c r="D13" s="110" t="s">
        <v>335</v>
      </c>
      <c r="E13" s="170">
        <v>19866</v>
      </c>
      <c r="F13" s="190"/>
      <c r="G13" s="168"/>
      <c r="H13" s="2"/>
      <c r="I13" s="2"/>
    </row>
    <row r="14" spans="1:9" s="110" customFormat="1" ht="13.5" customHeight="1">
      <c r="A14" s="164">
        <v>40274</v>
      </c>
      <c r="B14" s="127">
        <v>35</v>
      </c>
      <c r="C14" s="197" t="s">
        <v>34</v>
      </c>
      <c r="D14" s="110" t="s">
        <v>331</v>
      </c>
      <c r="E14" s="170">
        <v>3977</v>
      </c>
      <c r="F14" s="190"/>
      <c r="G14" s="168"/>
      <c r="H14" s="2"/>
      <c r="I14" s="2"/>
    </row>
    <row r="15" spans="1:9" s="110" customFormat="1" ht="13.5" customHeight="1">
      <c r="A15" s="164">
        <v>40276</v>
      </c>
      <c r="B15" s="127">
        <v>37</v>
      </c>
      <c r="C15" s="197" t="s">
        <v>34</v>
      </c>
      <c r="D15" s="110" t="s">
        <v>332</v>
      </c>
      <c r="E15" s="170">
        <v>2503</v>
      </c>
      <c r="F15" s="190"/>
      <c r="G15" s="168"/>
      <c r="H15" s="2"/>
      <c r="I15" s="2"/>
    </row>
    <row r="16" spans="1:9" s="110" customFormat="1" ht="13.5" customHeight="1">
      <c r="A16" s="164">
        <v>40297</v>
      </c>
      <c r="B16" s="127">
        <v>62</v>
      </c>
      <c r="C16" s="197" t="s">
        <v>34</v>
      </c>
      <c r="D16" s="149" t="s">
        <v>334</v>
      </c>
      <c r="E16" s="170">
        <v>8889</v>
      </c>
      <c r="F16" s="190"/>
      <c r="G16" s="168"/>
      <c r="H16" s="2"/>
      <c r="I16" s="2"/>
    </row>
    <row r="17" spans="1:9" s="110" customFormat="1" ht="13.5" customHeight="1">
      <c r="A17" s="164">
        <v>40301</v>
      </c>
      <c r="B17" s="127">
        <v>71</v>
      </c>
      <c r="C17" s="197" t="s">
        <v>34</v>
      </c>
      <c r="D17" s="110" t="s">
        <v>307</v>
      </c>
      <c r="E17" s="170">
        <v>40756</v>
      </c>
      <c r="F17" s="190"/>
      <c r="G17" s="168"/>
      <c r="H17" s="2"/>
      <c r="I17" s="2"/>
    </row>
    <row r="18" spans="1:9" s="110" customFormat="1" ht="13.5" customHeight="1">
      <c r="A18" s="164">
        <v>40305</v>
      </c>
      <c r="B18" s="127">
        <v>77</v>
      </c>
      <c r="C18" s="197" t="s">
        <v>34</v>
      </c>
      <c r="D18" s="149" t="s">
        <v>333</v>
      </c>
      <c r="E18" s="170">
        <v>5564</v>
      </c>
      <c r="F18" s="190"/>
      <c r="G18" s="168"/>
      <c r="H18" s="2"/>
      <c r="I18" s="2"/>
    </row>
    <row r="19" spans="1:9" s="110" customFormat="1" ht="13.5" customHeight="1">
      <c r="A19" s="184">
        <v>40337</v>
      </c>
      <c r="B19" s="127">
        <v>130</v>
      </c>
      <c r="C19" s="197" t="s">
        <v>34</v>
      </c>
      <c r="D19" s="110" t="s">
        <v>334</v>
      </c>
      <c r="E19" s="170">
        <v>7800</v>
      </c>
      <c r="F19" s="190"/>
      <c r="G19" s="168"/>
      <c r="H19" s="2"/>
      <c r="I19" s="2"/>
    </row>
    <row r="20" spans="1:9" s="110" customFormat="1" ht="13.5" customHeight="1">
      <c r="A20" s="184">
        <v>40337</v>
      </c>
      <c r="B20" s="127">
        <v>131</v>
      </c>
      <c r="C20" s="197" t="s">
        <v>34</v>
      </c>
      <c r="D20" s="110" t="s">
        <v>335</v>
      </c>
      <c r="E20" s="170">
        <v>28900</v>
      </c>
      <c r="F20" s="190"/>
      <c r="G20" s="168"/>
      <c r="H20" s="2"/>
      <c r="I20" s="2"/>
    </row>
    <row r="21" spans="1:9" s="110" customFormat="1" ht="13.5" customHeight="1">
      <c r="A21" s="184">
        <v>40337</v>
      </c>
      <c r="B21" s="127">
        <v>132</v>
      </c>
      <c r="C21" s="197" t="s">
        <v>34</v>
      </c>
      <c r="D21" s="110" t="s">
        <v>331</v>
      </c>
      <c r="E21" s="170">
        <v>4600</v>
      </c>
      <c r="F21" s="190"/>
      <c r="G21" s="168"/>
      <c r="H21" s="2"/>
      <c r="I21" s="2"/>
    </row>
    <row r="22" spans="1:9" s="110" customFormat="1" ht="13.5" customHeight="1">
      <c r="A22" s="184">
        <v>40337</v>
      </c>
      <c r="B22" s="127">
        <v>133</v>
      </c>
      <c r="C22" s="197" t="s">
        <v>34</v>
      </c>
      <c r="D22" s="110" t="s">
        <v>333</v>
      </c>
      <c r="E22" s="170">
        <v>5900</v>
      </c>
      <c r="F22" s="190"/>
      <c r="G22" s="168"/>
      <c r="H22" s="2"/>
      <c r="I22" s="2"/>
    </row>
    <row r="23" spans="1:9" s="110" customFormat="1" ht="13.5" customHeight="1">
      <c r="A23" s="164">
        <v>40338</v>
      </c>
      <c r="B23" s="127">
        <v>139</v>
      </c>
      <c r="C23" s="197" t="s">
        <v>34</v>
      </c>
      <c r="D23" s="110" t="s">
        <v>307</v>
      </c>
      <c r="E23" s="170">
        <v>75900</v>
      </c>
      <c r="F23" s="190"/>
      <c r="G23" s="168"/>
      <c r="H23" s="2"/>
      <c r="I23" s="2"/>
    </row>
    <row r="24" spans="1:9" s="110" customFormat="1" ht="13.5" customHeight="1">
      <c r="A24" s="164">
        <v>40339</v>
      </c>
      <c r="B24" s="127">
        <v>145</v>
      </c>
      <c r="C24" s="197" t="s">
        <v>34</v>
      </c>
      <c r="D24" s="110" t="s">
        <v>332</v>
      </c>
      <c r="E24" s="170">
        <v>4000</v>
      </c>
      <c r="F24" s="190"/>
      <c r="G24" s="168"/>
      <c r="H24" s="2"/>
      <c r="I24" s="2"/>
    </row>
    <row r="25" spans="1:9" s="110" customFormat="1" ht="13.5" customHeight="1">
      <c r="A25" s="184">
        <v>40437</v>
      </c>
      <c r="B25" s="127">
        <v>289</v>
      </c>
      <c r="C25" s="197" t="s">
        <v>34</v>
      </c>
      <c r="D25" s="110" t="s">
        <v>331</v>
      </c>
      <c r="E25" s="170">
        <v>4500</v>
      </c>
      <c r="F25" s="190"/>
      <c r="G25" s="168"/>
      <c r="H25" s="2"/>
      <c r="I25" s="2"/>
    </row>
    <row r="26" spans="1:9" s="110" customFormat="1" ht="13.5" customHeight="1">
      <c r="A26" s="164">
        <v>40438</v>
      </c>
      <c r="B26" s="127">
        <v>296</v>
      </c>
      <c r="C26" s="197" t="s">
        <v>34</v>
      </c>
      <c r="D26" s="110" t="s">
        <v>335</v>
      </c>
      <c r="E26" s="170">
        <v>29400</v>
      </c>
      <c r="F26" s="190"/>
      <c r="G26" s="168"/>
      <c r="H26" s="2"/>
      <c r="I26" s="2"/>
    </row>
    <row r="27" spans="1:9" s="110" customFormat="1" ht="13.5" customHeight="1">
      <c r="A27" s="184">
        <v>40441</v>
      </c>
      <c r="B27" s="127">
        <v>298</v>
      </c>
      <c r="C27" s="197" t="s">
        <v>34</v>
      </c>
      <c r="D27" s="110" t="s">
        <v>334</v>
      </c>
      <c r="E27" s="170">
        <v>5200</v>
      </c>
      <c r="F27" s="190"/>
      <c r="G27" s="168"/>
      <c r="H27" s="2"/>
      <c r="I27" s="2"/>
    </row>
    <row r="28" spans="1:9" s="110" customFormat="1" ht="13.5" customHeight="1">
      <c r="A28" s="184">
        <v>40441</v>
      </c>
      <c r="B28" s="127">
        <v>299</v>
      </c>
      <c r="C28" s="197" t="s">
        <v>34</v>
      </c>
      <c r="D28" s="110" t="s">
        <v>307</v>
      </c>
      <c r="E28" s="170">
        <v>50600</v>
      </c>
      <c r="F28" s="190"/>
      <c r="G28" s="168"/>
      <c r="H28" s="2"/>
      <c r="I28" s="2"/>
    </row>
    <row r="29" spans="1:9" s="110" customFormat="1" ht="13.5" customHeight="1">
      <c r="A29" s="184">
        <v>40443</v>
      </c>
      <c r="B29" s="127">
        <v>302</v>
      </c>
      <c r="C29" s="197" t="s">
        <v>34</v>
      </c>
      <c r="D29" s="110" t="s">
        <v>333</v>
      </c>
      <c r="E29" s="170">
        <v>3900</v>
      </c>
      <c r="F29" s="190"/>
      <c r="G29" s="168"/>
      <c r="H29" s="2"/>
      <c r="I29" s="2"/>
    </row>
    <row r="30" spans="1:9" s="110" customFormat="1" ht="13.5" customHeight="1">
      <c r="A30" s="184">
        <v>40452</v>
      </c>
      <c r="B30" s="127">
        <v>317</v>
      </c>
      <c r="C30" s="197" t="s">
        <v>34</v>
      </c>
      <c r="D30" s="110" t="s">
        <v>332</v>
      </c>
      <c r="E30" s="170">
        <v>2700</v>
      </c>
      <c r="F30" s="190"/>
      <c r="G30" s="168"/>
      <c r="H30" s="2"/>
      <c r="I30" s="2"/>
    </row>
    <row r="31" spans="1:9" s="110" customFormat="1" ht="13.5" customHeight="1">
      <c r="A31" s="184">
        <v>40511</v>
      </c>
      <c r="B31" s="127">
        <v>389</v>
      </c>
      <c r="C31" s="197" t="s">
        <v>34</v>
      </c>
      <c r="D31" s="110" t="s">
        <v>307</v>
      </c>
      <c r="E31" s="170">
        <v>12800</v>
      </c>
      <c r="F31" s="190"/>
      <c r="G31" s="168"/>
      <c r="H31" s="2"/>
      <c r="I31" s="2"/>
    </row>
    <row r="32" spans="1:9" s="110" customFormat="1" ht="13.5" customHeight="1">
      <c r="A32" s="184">
        <v>40511</v>
      </c>
      <c r="B32" s="127">
        <v>390</v>
      </c>
      <c r="C32" s="197" t="s">
        <v>34</v>
      </c>
      <c r="D32" s="110" t="s">
        <v>331</v>
      </c>
      <c r="E32" s="170">
        <v>9100</v>
      </c>
      <c r="F32" s="190"/>
      <c r="G32" s="168"/>
      <c r="H32" s="2"/>
      <c r="I32" s="2"/>
    </row>
    <row r="33" spans="1:9" s="110" customFormat="1" ht="13.5" customHeight="1">
      <c r="A33" s="184">
        <v>40511</v>
      </c>
      <c r="B33" s="127">
        <v>391</v>
      </c>
      <c r="C33" s="197" t="s">
        <v>34</v>
      </c>
      <c r="D33" s="110" t="s">
        <v>333</v>
      </c>
      <c r="E33" s="170">
        <v>4700</v>
      </c>
      <c r="F33" s="190"/>
      <c r="G33" s="168"/>
      <c r="H33" s="2"/>
      <c r="I33" s="2"/>
    </row>
    <row r="34" spans="1:9" s="110" customFormat="1" ht="13.5" customHeight="1">
      <c r="A34" s="184">
        <v>40518</v>
      </c>
      <c r="B34" s="127">
        <v>405</v>
      </c>
      <c r="C34" s="197" t="s">
        <v>34</v>
      </c>
      <c r="D34" s="110" t="s">
        <v>332</v>
      </c>
      <c r="E34" s="170">
        <v>8800</v>
      </c>
      <c r="F34" s="190"/>
      <c r="G34" s="168"/>
      <c r="H34" s="2"/>
      <c r="I34" s="2"/>
    </row>
    <row r="35" spans="1:9" s="110" customFormat="1" ht="13.5" customHeight="1">
      <c r="A35" s="184">
        <v>40521</v>
      </c>
      <c r="B35" s="127">
        <v>410</v>
      </c>
      <c r="C35" s="197" t="s">
        <v>34</v>
      </c>
      <c r="D35" s="110" t="s">
        <v>334</v>
      </c>
      <c r="E35" s="170">
        <v>7600</v>
      </c>
      <c r="F35" s="190"/>
      <c r="G35" s="168"/>
      <c r="H35" s="2"/>
      <c r="I35" s="2"/>
    </row>
    <row r="36" spans="1:9" s="110" customFormat="1" ht="13.5" customHeight="1">
      <c r="A36" s="164">
        <v>40526</v>
      </c>
      <c r="B36" s="127">
        <v>417</v>
      </c>
      <c r="C36" s="197" t="s">
        <v>34</v>
      </c>
      <c r="D36" s="110" t="s">
        <v>335</v>
      </c>
      <c r="E36" s="170">
        <v>15500</v>
      </c>
      <c r="F36" s="190"/>
      <c r="G36" s="168"/>
      <c r="H36" s="2"/>
      <c r="I36" s="2"/>
    </row>
    <row r="37" spans="1:9" s="110" customFormat="1" ht="13.5" customHeight="1">
      <c r="A37" s="184">
        <v>40539</v>
      </c>
      <c r="B37" s="127">
        <v>458</v>
      </c>
      <c r="C37" s="197" t="s">
        <v>34</v>
      </c>
      <c r="D37" s="110" t="s">
        <v>307</v>
      </c>
      <c r="E37" s="170">
        <v>2500</v>
      </c>
      <c r="F37" s="190"/>
      <c r="G37" s="168"/>
      <c r="H37" s="2"/>
      <c r="I37" s="2"/>
    </row>
    <row r="38" spans="1:9" s="110" customFormat="1" ht="13.5" customHeight="1">
      <c r="A38" s="184">
        <v>40540</v>
      </c>
      <c r="B38" s="127">
        <v>460</v>
      </c>
      <c r="C38" s="197" t="s">
        <v>34</v>
      </c>
      <c r="D38" s="110" t="s">
        <v>332</v>
      </c>
      <c r="E38" s="170">
        <v>2500</v>
      </c>
      <c r="F38" s="190"/>
      <c r="G38" s="168"/>
      <c r="H38" s="2"/>
      <c r="I38" s="2"/>
    </row>
    <row r="39" spans="1:9" s="110" customFormat="1" ht="13.5" customHeight="1">
      <c r="A39" s="184">
        <v>40540</v>
      </c>
      <c r="B39" s="127">
        <v>461</v>
      </c>
      <c r="C39" s="197" t="s">
        <v>34</v>
      </c>
      <c r="D39" s="110" t="s">
        <v>331</v>
      </c>
      <c r="E39" s="170">
        <v>2500</v>
      </c>
      <c r="F39" s="190"/>
      <c r="G39" s="168"/>
      <c r="H39" s="2"/>
      <c r="I39" s="2"/>
    </row>
    <row r="40" spans="1:9" s="110" customFormat="1" ht="13.5" customHeight="1">
      <c r="A40" s="184">
        <v>40541</v>
      </c>
      <c r="B40" s="127">
        <v>463</v>
      </c>
      <c r="C40" s="197" t="s">
        <v>34</v>
      </c>
      <c r="D40" s="110" t="s">
        <v>334</v>
      </c>
      <c r="E40" s="170">
        <v>3500</v>
      </c>
      <c r="F40" s="190"/>
      <c r="G40" s="168"/>
      <c r="H40" s="2"/>
      <c r="I40" s="2"/>
    </row>
    <row r="41" spans="1:9" s="110" customFormat="1" ht="13.5" customHeight="1">
      <c r="A41" s="164">
        <v>40543</v>
      </c>
      <c r="B41" s="127">
        <v>465</v>
      </c>
      <c r="C41" s="197" t="s">
        <v>34</v>
      </c>
      <c r="D41" s="110" t="s">
        <v>335</v>
      </c>
      <c r="E41" s="170">
        <v>5500</v>
      </c>
      <c r="F41" s="190"/>
      <c r="G41" s="168"/>
      <c r="H41" s="2"/>
      <c r="I41" s="2"/>
    </row>
    <row r="42" spans="1:11" ht="12.75">
      <c r="A42" s="74"/>
      <c r="C42" s="81"/>
      <c r="G42" s="5"/>
      <c r="H42" s="2"/>
      <c r="J42" s="9"/>
      <c r="K42" s="5"/>
    </row>
    <row r="43" spans="1:7" ht="12.75">
      <c r="A43" s="74"/>
      <c r="E43" s="73">
        <f>SUM(E6:E42)</f>
        <v>486355</v>
      </c>
      <c r="F43" s="73">
        <f>SUM(F6:F42)</f>
        <v>0</v>
      </c>
      <c r="G43" s="73">
        <f>SUM(E43:F43)</f>
        <v>486355</v>
      </c>
    </row>
    <row r="44" ht="12.75">
      <c r="A44" s="74"/>
    </row>
    <row r="45" spans="1:10" s="149" customFormat="1" ht="12.75">
      <c r="A45" s="184">
        <v>40527</v>
      </c>
      <c r="B45" s="123">
        <v>427</v>
      </c>
      <c r="C45" s="274" t="s">
        <v>36</v>
      </c>
      <c r="D45" s="149" t="s">
        <v>1035</v>
      </c>
      <c r="E45" s="170">
        <v>1365</v>
      </c>
      <c r="F45" s="199"/>
      <c r="G45" s="200"/>
      <c r="J45" s="201"/>
    </row>
    <row r="46" spans="1:10" s="149" customFormat="1" ht="12.75">
      <c r="A46" s="184">
        <v>40535</v>
      </c>
      <c r="B46" s="123">
        <v>448</v>
      </c>
      <c r="C46" s="274" t="s">
        <v>36</v>
      </c>
      <c r="D46" s="149" t="s">
        <v>1059</v>
      </c>
      <c r="E46" s="170">
        <v>273.9</v>
      </c>
      <c r="F46" s="199"/>
      <c r="G46" s="200"/>
      <c r="J46" s="201"/>
    </row>
    <row r="47" spans="1:11" ht="12.75">
      <c r="A47" s="74"/>
      <c r="C47" s="1"/>
      <c r="G47" s="5"/>
      <c r="H47" s="2"/>
      <c r="J47" s="9"/>
      <c r="K47" s="5"/>
    </row>
    <row r="48" spans="1:8" ht="12.75">
      <c r="A48" s="74"/>
      <c r="E48" s="73">
        <f>SUM(E45:E47)</f>
        <v>1638.9</v>
      </c>
      <c r="F48" s="73">
        <f>SUM(F45:F47)</f>
        <v>0</v>
      </c>
      <c r="G48" s="73">
        <f>SUM(E48:F48)</f>
        <v>1638.9</v>
      </c>
      <c r="H48" s="80"/>
    </row>
    <row r="49" ht="12.75">
      <c r="A49" s="74"/>
    </row>
    <row r="50" spans="1:11" ht="12.75">
      <c r="A50" s="164"/>
      <c r="C50" s="81" t="s">
        <v>136</v>
      </c>
      <c r="D50" s="159"/>
      <c r="E50" s="170">
        <v>0</v>
      </c>
      <c r="G50" s="5"/>
      <c r="H50" s="2"/>
      <c r="J50" s="9"/>
      <c r="K50" s="5"/>
    </row>
    <row r="51" spans="1:11" ht="12.75">
      <c r="A51" s="74"/>
      <c r="C51" s="81"/>
      <c r="G51" s="5"/>
      <c r="H51" s="2"/>
      <c r="J51" s="9"/>
      <c r="K51" s="5"/>
    </row>
    <row r="52" spans="1:10" ht="12.75">
      <c r="A52" s="74"/>
      <c r="E52" s="73">
        <f>SUM(E50:E51)</f>
        <v>0</v>
      </c>
      <c r="F52" s="73">
        <f>SUM(F50:F51)</f>
        <v>0</v>
      </c>
      <c r="G52" s="73">
        <f>SUM(E52:F52)</f>
        <v>0</v>
      </c>
      <c r="J52" s="57"/>
    </row>
    <row r="53" ht="12.75">
      <c r="A53" s="75"/>
    </row>
    <row r="54" spans="1:10" s="110" customFormat="1" ht="12.75">
      <c r="A54" s="164">
        <v>40437</v>
      </c>
      <c r="B54" s="127">
        <v>291</v>
      </c>
      <c r="C54" s="77" t="s">
        <v>54</v>
      </c>
      <c r="D54" s="149" t="s">
        <v>838</v>
      </c>
      <c r="E54" s="170">
        <v>12245</v>
      </c>
      <c r="F54" s="190"/>
      <c r="G54" s="168"/>
      <c r="J54" s="129"/>
    </row>
    <row r="55" spans="1:10" s="110" customFormat="1" ht="12.75">
      <c r="A55" s="164">
        <v>40499</v>
      </c>
      <c r="B55" s="127">
        <v>372</v>
      </c>
      <c r="C55" s="77" t="s">
        <v>54</v>
      </c>
      <c r="D55" s="149" t="s">
        <v>971</v>
      </c>
      <c r="E55" s="170">
        <v>8000</v>
      </c>
      <c r="F55" s="190"/>
      <c r="G55" s="168"/>
      <c r="J55" s="129"/>
    </row>
    <row r="57" spans="1:11" ht="12.75">
      <c r="A57" s="74"/>
      <c r="C57" s="1"/>
      <c r="G57" s="5"/>
      <c r="H57" s="2"/>
      <c r="J57" s="9"/>
      <c r="K57" s="5"/>
    </row>
    <row r="58" spans="1:7" ht="12.75">
      <c r="A58" s="74"/>
      <c r="E58" s="73">
        <f>SUM(E54:E57)</f>
        <v>20245</v>
      </c>
      <c r="F58" s="73">
        <f>SUM(F54:F57)</f>
        <v>0</v>
      </c>
      <c r="G58" s="73">
        <f>SUM(E58:F58)</f>
        <v>20245</v>
      </c>
    </row>
    <row r="59" ht="12.75">
      <c r="A59" s="75"/>
    </row>
    <row r="60" spans="1:10" s="110" customFormat="1" ht="12.75">
      <c r="A60" s="164">
        <v>40535</v>
      </c>
      <c r="B60" s="127">
        <v>449</v>
      </c>
      <c r="C60" s="275" t="s">
        <v>225</v>
      </c>
      <c r="D60" s="149" t="s">
        <v>1060</v>
      </c>
      <c r="E60" s="242">
        <v>15580</v>
      </c>
      <c r="F60" s="190"/>
      <c r="G60" s="168"/>
      <c r="J60" s="129"/>
    </row>
    <row r="61" spans="1:11" ht="12.75">
      <c r="A61" s="74"/>
      <c r="C61" s="1"/>
      <c r="G61" s="5"/>
      <c r="H61" s="2"/>
      <c r="J61" s="9"/>
      <c r="K61" s="5"/>
    </row>
    <row r="62" spans="1:7" ht="12.75">
      <c r="A62" s="74"/>
      <c r="E62" s="73">
        <f>SUM(E60:E61)</f>
        <v>15580</v>
      </c>
      <c r="F62" s="73">
        <f>SUM(F59:F59)</f>
        <v>0</v>
      </c>
      <c r="G62" s="73">
        <f>SUM(E62:F62)</f>
        <v>15580</v>
      </c>
    </row>
    <row r="63" ht="12.75">
      <c r="A63" s="74"/>
    </row>
    <row r="64" spans="1:11" ht="12.75">
      <c r="A64" s="164">
        <v>40354</v>
      </c>
      <c r="B64" s="1">
        <v>167</v>
      </c>
      <c r="C64" s="1">
        <v>32</v>
      </c>
      <c r="D64" s="126" t="s">
        <v>614</v>
      </c>
      <c r="E64" s="238">
        <v>1000</v>
      </c>
      <c r="G64" s="5"/>
      <c r="H64" s="2" t="s">
        <v>15</v>
      </c>
      <c r="I64" s="110"/>
      <c r="J64" s="129"/>
      <c r="K64" s="5"/>
    </row>
    <row r="65" spans="1:11" ht="12.75">
      <c r="A65" s="74"/>
      <c r="C65" s="1"/>
      <c r="G65" s="5"/>
      <c r="H65" s="2"/>
      <c r="J65" s="9"/>
      <c r="K65" s="5"/>
    </row>
    <row r="66" spans="1:7" ht="12.75">
      <c r="A66" s="74"/>
      <c r="E66" s="73">
        <f>SUM(E64:E65)</f>
        <v>1000</v>
      </c>
      <c r="F66" s="73">
        <f>SUM(F64:F65)</f>
        <v>0</v>
      </c>
      <c r="G66" s="73">
        <f>SUM(E66:F66)</f>
        <v>1000</v>
      </c>
    </row>
    <row r="67" ht="12.75">
      <c r="A67" s="75"/>
    </row>
    <row r="68" spans="1:10" s="110" customFormat="1" ht="12.75">
      <c r="A68" s="164">
        <v>40338</v>
      </c>
      <c r="B68" s="127">
        <v>138</v>
      </c>
      <c r="C68" s="131" t="s">
        <v>183</v>
      </c>
      <c r="D68" s="149" t="s">
        <v>526</v>
      </c>
      <c r="E68" s="252">
        <v>650</v>
      </c>
      <c r="F68" s="190"/>
      <c r="G68" s="168"/>
      <c r="J68" s="129"/>
    </row>
    <row r="69" spans="1:10" s="110" customFormat="1" ht="12.75">
      <c r="A69" s="164">
        <v>40345</v>
      </c>
      <c r="B69" s="127">
        <v>151</v>
      </c>
      <c r="C69" s="131" t="s">
        <v>183</v>
      </c>
      <c r="D69" s="149" t="s">
        <v>578</v>
      </c>
      <c r="E69" s="252">
        <v>850</v>
      </c>
      <c r="F69" s="190"/>
      <c r="G69" s="168"/>
      <c r="J69" s="129"/>
    </row>
    <row r="70" spans="1:10" s="110" customFormat="1" ht="12.75">
      <c r="A70" s="164">
        <v>40345</v>
      </c>
      <c r="B70" s="127">
        <v>152</v>
      </c>
      <c r="C70" s="131" t="s">
        <v>183</v>
      </c>
      <c r="D70" s="149" t="s">
        <v>573</v>
      </c>
      <c r="E70" s="252">
        <v>1500</v>
      </c>
      <c r="F70" s="190"/>
      <c r="G70" s="168"/>
      <c r="J70" s="129"/>
    </row>
    <row r="71" spans="1:10" s="110" customFormat="1" ht="12.75">
      <c r="A71" s="164">
        <v>40347</v>
      </c>
      <c r="B71" s="127">
        <v>153</v>
      </c>
      <c r="C71" s="131" t="s">
        <v>183</v>
      </c>
      <c r="D71" s="149" t="s">
        <v>593</v>
      </c>
      <c r="E71" s="252">
        <v>850</v>
      </c>
      <c r="F71" s="190"/>
      <c r="G71" s="168"/>
      <c r="J71" s="129"/>
    </row>
    <row r="72" spans="1:10" s="110" customFormat="1" ht="12.75">
      <c r="A72" s="164">
        <v>40347</v>
      </c>
      <c r="B72" s="127">
        <v>154</v>
      </c>
      <c r="C72" s="131" t="s">
        <v>183</v>
      </c>
      <c r="D72" s="110" t="s">
        <v>523</v>
      </c>
      <c r="E72" s="252">
        <v>650</v>
      </c>
      <c r="F72" s="190"/>
      <c r="G72" s="168"/>
      <c r="J72" s="129"/>
    </row>
    <row r="73" spans="1:10" s="110" customFormat="1" ht="12.75">
      <c r="A73" s="164">
        <v>40350</v>
      </c>
      <c r="B73" s="127">
        <v>155</v>
      </c>
      <c r="C73" s="131" t="s">
        <v>183</v>
      </c>
      <c r="D73" s="110" t="s">
        <v>524</v>
      </c>
      <c r="E73" s="252">
        <v>1500</v>
      </c>
      <c r="F73" s="190"/>
      <c r="G73" s="168"/>
      <c r="J73" s="129"/>
    </row>
    <row r="74" spans="1:10" s="110" customFormat="1" ht="12.75">
      <c r="A74" s="164">
        <v>40352</v>
      </c>
      <c r="B74" s="127">
        <v>161</v>
      </c>
      <c r="C74" s="131" t="s">
        <v>183</v>
      </c>
      <c r="D74" s="149" t="s">
        <v>527</v>
      </c>
      <c r="E74" s="252">
        <v>1500</v>
      </c>
      <c r="F74" s="190"/>
      <c r="G74" s="168"/>
      <c r="J74" s="129"/>
    </row>
    <row r="75" spans="1:10" s="110" customFormat="1" ht="12.75">
      <c r="A75" s="164">
        <v>40353</v>
      </c>
      <c r="B75" s="127">
        <v>162</v>
      </c>
      <c r="C75" s="131" t="s">
        <v>183</v>
      </c>
      <c r="D75" s="149" t="s">
        <v>576</v>
      </c>
      <c r="E75" s="252">
        <v>2550</v>
      </c>
      <c r="F75" s="190"/>
      <c r="G75" s="168"/>
      <c r="J75" s="129"/>
    </row>
    <row r="76" spans="1:10" s="110" customFormat="1" ht="12.75">
      <c r="A76" s="184">
        <v>40354</v>
      </c>
      <c r="B76" s="123">
        <v>165</v>
      </c>
      <c r="C76" s="131" t="s">
        <v>183</v>
      </c>
      <c r="D76" s="149" t="s">
        <v>579</v>
      </c>
      <c r="E76" s="252">
        <v>850</v>
      </c>
      <c r="F76" s="190"/>
      <c r="G76" s="168"/>
      <c r="J76" s="129"/>
    </row>
    <row r="77" spans="1:10" s="110" customFormat="1" ht="12.75">
      <c r="A77" s="184">
        <v>40364</v>
      </c>
      <c r="B77" s="127">
        <v>178</v>
      </c>
      <c r="C77" s="131" t="s">
        <v>183</v>
      </c>
      <c r="D77" s="149" t="s">
        <v>599</v>
      </c>
      <c r="E77" s="252">
        <v>400</v>
      </c>
      <c r="F77" s="190"/>
      <c r="G77" s="168"/>
      <c r="J77" s="129"/>
    </row>
    <row r="78" spans="1:10" s="110" customFormat="1" ht="12.75">
      <c r="A78" s="164">
        <v>40375</v>
      </c>
      <c r="B78" s="127">
        <v>193</v>
      </c>
      <c r="C78" s="131" t="s">
        <v>183</v>
      </c>
      <c r="D78" s="149" t="s">
        <v>575</v>
      </c>
      <c r="E78" s="252">
        <v>650</v>
      </c>
      <c r="F78" s="190"/>
      <c r="G78" s="168"/>
      <c r="J78" s="129"/>
    </row>
    <row r="79" spans="1:10" s="110" customFormat="1" ht="12.75">
      <c r="A79" s="164">
        <v>40379</v>
      </c>
      <c r="B79" s="127">
        <v>194</v>
      </c>
      <c r="C79" s="131" t="s">
        <v>183</v>
      </c>
      <c r="D79" s="149" t="s">
        <v>574</v>
      </c>
      <c r="E79" s="252">
        <v>2350</v>
      </c>
      <c r="F79" s="190"/>
      <c r="G79" s="168"/>
      <c r="J79" s="129"/>
    </row>
    <row r="80" spans="1:10" s="110" customFormat="1" ht="12.75">
      <c r="A80" s="164">
        <v>40399</v>
      </c>
      <c r="B80" s="127">
        <v>206</v>
      </c>
      <c r="C80" s="131" t="s">
        <v>183</v>
      </c>
      <c r="D80" s="149" t="s">
        <v>598</v>
      </c>
      <c r="E80" s="252">
        <v>400</v>
      </c>
      <c r="F80" s="190"/>
      <c r="G80" s="168"/>
      <c r="J80" s="129"/>
    </row>
    <row r="81" spans="1:10" s="110" customFormat="1" ht="12.75">
      <c r="A81" s="164">
        <v>40406</v>
      </c>
      <c r="B81" s="127">
        <v>213</v>
      </c>
      <c r="C81" s="131" t="s">
        <v>183</v>
      </c>
      <c r="D81" s="149" t="s">
        <v>596</v>
      </c>
      <c r="E81" s="252">
        <v>650</v>
      </c>
      <c r="F81" s="190"/>
      <c r="G81" s="168"/>
      <c r="J81" s="129"/>
    </row>
    <row r="82" spans="1:10" s="110" customFormat="1" ht="12.75">
      <c r="A82" s="164">
        <v>40407</v>
      </c>
      <c r="B82" s="127">
        <v>216</v>
      </c>
      <c r="C82" s="131" t="s">
        <v>183</v>
      </c>
      <c r="D82" s="149" t="s">
        <v>594</v>
      </c>
      <c r="E82" s="252">
        <v>850</v>
      </c>
      <c r="F82" s="190"/>
      <c r="G82" s="168"/>
      <c r="J82" s="129"/>
    </row>
    <row r="83" spans="1:10" s="110" customFormat="1" ht="12.75">
      <c r="A83" s="164">
        <v>40407</v>
      </c>
      <c r="B83" s="127">
        <v>217</v>
      </c>
      <c r="C83" s="131" t="s">
        <v>183</v>
      </c>
      <c r="D83" s="149" t="s">
        <v>595</v>
      </c>
      <c r="E83" s="252">
        <v>400</v>
      </c>
      <c r="F83" s="190"/>
      <c r="G83" s="168"/>
      <c r="J83" s="129"/>
    </row>
    <row r="84" spans="1:10" s="110" customFormat="1" ht="12.75">
      <c r="A84" s="164">
        <v>40408</v>
      </c>
      <c r="B84" s="127">
        <v>218</v>
      </c>
      <c r="C84" s="131" t="s">
        <v>183</v>
      </c>
      <c r="D84" s="149" t="s">
        <v>528</v>
      </c>
      <c r="E84" s="252">
        <v>1300</v>
      </c>
      <c r="F84" s="190"/>
      <c r="G84" s="168"/>
      <c r="J84" s="129"/>
    </row>
    <row r="85" spans="1:10" s="110" customFormat="1" ht="12.75">
      <c r="A85" s="164">
        <v>40413</v>
      </c>
      <c r="B85" s="127">
        <v>239</v>
      </c>
      <c r="C85" s="131" t="s">
        <v>183</v>
      </c>
      <c r="D85" s="149" t="s">
        <v>718</v>
      </c>
      <c r="E85" s="252">
        <v>850</v>
      </c>
      <c r="F85" s="190"/>
      <c r="G85" s="168"/>
      <c r="J85" s="129"/>
    </row>
    <row r="86" spans="1:10" s="110" customFormat="1" ht="12.75">
      <c r="A86" s="164">
        <v>40422</v>
      </c>
      <c r="B86" s="127">
        <v>258</v>
      </c>
      <c r="C86" s="131" t="s">
        <v>183</v>
      </c>
      <c r="D86" s="149" t="s">
        <v>597</v>
      </c>
      <c r="E86" s="252">
        <v>850</v>
      </c>
      <c r="F86" s="190"/>
      <c r="G86" s="168"/>
      <c r="J86" s="129"/>
    </row>
    <row r="87" spans="1:10" s="110" customFormat="1" ht="12.75">
      <c r="A87" s="164">
        <v>40428</v>
      </c>
      <c r="B87" s="127">
        <v>270</v>
      </c>
      <c r="C87" s="131" t="s">
        <v>183</v>
      </c>
      <c r="D87" s="149" t="s">
        <v>600</v>
      </c>
      <c r="E87" s="252">
        <v>400</v>
      </c>
      <c r="F87" s="190"/>
      <c r="G87" s="168"/>
      <c r="J87" s="129"/>
    </row>
    <row r="88" spans="1:10" s="110" customFormat="1" ht="12.75">
      <c r="A88" s="164">
        <v>40458</v>
      </c>
      <c r="B88" s="127">
        <v>329</v>
      </c>
      <c r="C88" s="131" t="s">
        <v>183</v>
      </c>
      <c r="D88" s="149" t="s">
        <v>577</v>
      </c>
      <c r="E88" s="252">
        <v>1500</v>
      </c>
      <c r="F88" s="190"/>
      <c r="G88" s="168"/>
      <c r="J88" s="129"/>
    </row>
    <row r="89" spans="1:10" s="110" customFormat="1" ht="12.75">
      <c r="A89" s="164">
        <v>40465</v>
      </c>
      <c r="B89" s="127">
        <v>334</v>
      </c>
      <c r="C89" s="131" t="s">
        <v>183</v>
      </c>
      <c r="D89" s="149" t="s">
        <v>580</v>
      </c>
      <c r="E89" s="252">
        <v>600</v>
      </c>
      <c r="F89" s="190"/>
      <c r="G89" s="168"/>
      <c r="J89" s="129"/>
    </row>
    <row r="90" spans="1:10" s="110" customFormat="1" ht="12.75">
      <c r="A90" s="164">
        <v>40488</v>
      </c>
      <c r="B90" s="127">
        <v>404</v>
      </c>
      <c r="C90" s="131" t="s">
        <v>183</v>
      </c>
      <c r="D90" s="149" t="s">
        <v>1014</v>
      </c>
      <c r="E90" s="252">
        <v>250</v>
      </c>
      <c r="F90" s="190"/>
      <c r="G90" s="168"/>
      <c r="J90" s="129"/>
    </row>
    <row r="92" spans="1:7" ht="12.75">
      <c r="A92" s="74"/>
      <c r="E92" s="73">
        <f>SUM(E68:E91)</f>
        <v>22350</v>
      </c>
      <c r="F92" s="73">
        <f>SUM(F68:F91)</f>
        <v>0</v>
      </c>
      <c r="G92" s="73">
        <f>SUM(E92:F92)</f>
        <v>22350</v>
      </c>
    </row>
    <row r="93" ht="12.75">
      <c r="A93" s="74"/>
    </row>
    <row r="94" spans="1:10" s="149" customFormat="1" ht="12.75">
      <c r="A94" s="184">
        <v>40182</v>
      </c>
      <c r="B94" s="123">
        <v>1</v>
      </c>
      <c r="C94" s="131" t="s">
        <v>14</v>
      </c>
      <c r="D94" s="112" t="s">
        <v>306</v>
      </c>
      <c r="E94" s="111">
        <v>400</v>
      </c>
      <c r="F94" s="199"/>
      <c r="G94" s="200"/>
      <c r="J94" s="201"/>
    </row>
    <row r="95" spans="1:9" s="110" customFormat="1" ht="13.5" customHeight="1">
      <c r="A95" s="164">
        <v>40206</v>
      </c>
      <c r="B95" s="127">
        <v>6</v>
      </c>
      <c r="C95" s="131" t="s">
        <v>14</v>
      </c>
      <c r="D95" s="112" t="s">
        <v>318</v>
      </c>
      <c r="E95" s="170">
        <v>300</v>
      </c>
      <c r="F95" s="190"/>
      <c r="G95" s="168"/>
      <c r="H95" s="2"/>
      <c r="I95" s="2"/>
    </row>
    <row r="96" spans="1:9" s="110" customFormat="1" ht="13.5" customHeight="1">
      <c r="A96" s="164">
        <v>40206</v>
      </c>
      <c r="B96" s="127">
        <v>7</v>
      </c>
      <c r="C96" s="131" t="s">
        <v>14</v>
      </c>
      <c r="D96" s="112" t="s">
        <v>319</v>
      </c>
      <c r="E96" s="170">
        <v>300</v>
      </c>
      <c r="F96" s="190"/>
      <c r="G96" s="168"/>
      <c r="H96" s="2"/>
      <c r="I96" s="2"/>
    </row>
    <row r="97" spans="1:9" s="110" customFormat="1" ht="13.5" customHeight="1">
      <c r="A97" s="164">
        <v>40210</v>
      </c>
      <c r="B97" s="127">
        <v>11</v>
      </c>
      <c r="C97" s="131" t="s">
        <v>14</v>
      </c>
      <c r="D97" s="112" t="s">
        <v>317</v>
      </c>
      <c r="E97" s="170">
        <v>3850</v>
      </c>
      <c r="F97" s="190"/>
      <c r="G97" s="168"/>
      <c r="H97" s="2"/>
      <c r="I97" s="2"/>
    </row>
    <row r="98" spans="1:9" s="110" customFormat="1" ht="13.5" customHeight="1">
      <c r="A98" s="164">
        <v>40240</v>
      </c>
      <c r="B98" s="127">
        <v>24</v>
      </c>
      <c r="C98" s="131" t="s">
        <v>14</v>
      </c>
      <c r="D98" s="112" t="s">
        <v>316</v>
      </c>
      <c r="E98" s="170">
        <v>3550</v>
      </c>
      <c r="F98" s="190"/>
      <c r="G98" s="168"/>
      <c r="H98" s="2"/>
      <c r="I98" s="2"/>
    </row>
    <row r="99" spans="1:9" s="110" customFormat="1" ht="13.5" customHeight="1">
      <c r="A99" s="164">
        <v>40308</v>
      </c>
      <c r="B99" s="127">
        <v>81</v>
      </c>
      <c r="C99" s="131" t="s">
        <v>14</v>
      </c>
      <c r="D99" s="149" t="s">
        <v>436</v>
      </c>
      <c r="E99" s="170">
        <v>4815.77</v>
      </c>
      <c r="F99" s="190"/>
      <c r="G99" s="168"/>
      <c r="H99" s="2"/>
      <c r="I99" s="2"/>
    </row>
    <row r="100" spans="1:9" s="110" customFormat="1" ht="13.5" customHeight="1">
      <c r="A100" s="164">
        <v>40316</v>
      </c>
      <c r="B100" s="127">
        <v>89</v>
      </c>
      <c r="C100" s="131" t="s">
        <v>14</v>
      </c>
      <c r="D100" s="149" t="s">
        <v>446</v>
      </c>
      <c r="E100" s="170">
        <v>2609.2</v>
      </c>
      <c r="F100" s="190"/>
      <c r="G100" s="168"/>
      <c r="H100" s="2"/>
      <c r="I100" s="2"/>
    </row>
    <row r="101" spans="1:9" s="110" customFormat="1" ht="13.5" customHeight="1">
      <c r="A101" s="164">
        <v>40319</v>
      </c>
      <c r="B101" s="127">
        <v>97</v>
      </c>
      <c r="C101" s="131" t="s">
        <v>14</v>
      </c>
      <c r="D101" s="149" t="s">
        <v>437</v>
      </c>
      <c r="E101" s="170">
        <v>2054.23</v>
      </c>
      <c r="F101" s="190"/>
      <c r="G101" s="168"/>
      <c r="H101" s="2"/>
      <c r="I101" s="2"/>
    </row>
    <row r="102" spans="1:9" s="110" customFormat="1" ht="13.5" customHeight="1">
      <c r="A102" s="164">
        <v>40319</v>
      </c>
      <c r="B102" s="127">
        <v>98</v>
      </c>
      <c r="C102" s="131" t="s">
        <v>14</v>
      </c>
      <c r="D102" s="149" t="s">
        <v>438</v>
      </c>
      <c r="E102" s="170">
        <v>600</v>
      </c>
      <c r="F102" s="190"/>
      <c r="G102" s="168"/>
      <c r="H102" s="2"/>
      <c r="I102" s="2"/>
    </row>
    <row r="103" spans="1:9" s="110" customFormat="1" ht="13.5" customHeight="1">
      <c r="A103" s="164">
        <v>40319</v>
      </c>
      <c r="B103" s="127">
        <v>99</v>
      </c>
      <c r="C103" s="131" t="s">
        <v>14</v>
      </c>
      <c r="D103" s="149" t="s">
        <v>445</v>
      </c>
      <c r="E103" s="170">
        <v>2309.2</v>
      </c>
      <c r="F103" s="190"/>
      <c r="G103" s="168"/>
      <c r="H103" s="2"/>
      <c r="I103" s="2"/>
    </row>
    <row r="104" spans="1:9" s="110" customFormat="1" ht="13.5" customHeight="1">
      <c r="A104" s="184">
        <v>40364</v>
      </c>
      <c r="B104" s="127">
        <v>176</v>
      </c>
      <c r="C104" s="131" t="s">
        <v>14</v>
      </c>
      <c r="D104" s="248" t="s">
        <v>637</v>
      </c>
      <c r="E104" s="170">
        <v>5023.5</v>
      </c>
      <c r="F104" s="190"/>
      <c r="G104" s="168"/>
      <c r="H104" s="2"/>
      <c r="I104" s="2"/>
    </row>
    <row r="105" spans="1:9" s="110" customFormat="1" ht="13.5" customHeight="1">
      <c r="A105" s="164">
        <v>40365</v>
      </c>
      <c r="B105" s="127">
        <v>181</v>
      </c>
      <c r="C105" s="131" t="s">
        <v>14</v>
      </c>
      <c r="D105" s="248" t="s">
        <v>638</v>
      </c>
      <c r="E105" s="170">
        <v>440.5</v>
      </c>
      <c r="F105" s="190"/>
      <c r="G105" s="168"/>
      <c r="H105" s="2"/>
      <c r="I105" s="2"/>
    </row>
    <row r="106" spans="1:9" s="110" customFormat="1" ht="13.5" customHeight="1">
      <c r="A106" s="164">
        <v>40371</v>
      </c>
      <c r="B106" s="127">
        <v>187</v>
      </c>
      <c r="C106" s="131" t="s">
        <v>14</v>
      </c>
      <c r="D106" s="248" t="s">
        <v>639</v>
      </c>
      <c r="E106" s="170">
        <v>2521.5</v>
      </c>
      <c r="F106" s="190"/>
      <c r="G106" s="168"/>
      <c r="H106" s="2"/>
      <c r="I106" s="2"/>
    </row>
    <row r="107" spans="1:9" s="110" customFormat="1" ht="13.5" customHeight="1">
      <c r="A107" s="164">
        <v>40408</v>
      </c>
      <c r="B107" s="127">
        <v>220</v>
      </c>
      <c r="C107" s="131" t="s">
        <v>14</v>
      </c>
      <c r="D107" s="248" t="s">
        <v>720</v>
      </c>
      <c r="E107" s="170">
        <v>1597.44</v>
      </c>
      <c r="F107" s="190"/>
      <c r="G107" s="168"/>
      <c r="H107" s="2"/>
      <c r="I107" s="2"/>
    </row>
    <row r="108" spans="1:9" s="110" customFormat="1" ht="13.5" customHeight="1">
      <c r="A108" s="164">
        <v>40409</v>
      </c>
      <c r="B108" s="127">
        <v>221</v>
      </c>
      <c r="C108" s="131" t="s">
        <v>14</v>
      </c>
      <c r="D108" s="248" t="s">
        <v>721</v>
      </c>
      <c r="E108" s="170">
        <v>5001.92</v>
      </c>
      <c r="F108" s="190"/>
      <c r="G108" s="168"/>
      <c r="H108" s="2"/>
      <c r="I108" s="2"/>
    </row>
    <row r="109" spans="1:9" s="149" customFormat="1" ht="13.5" customHeight="1">
      <c r="A109" s="184">
        <v>40409</v>
      </c>
      <c r="B109" s="123">
        <v>222</v>
      </c>
      <c r="C109" s="188" t="s">
        <v>14</v>
      </c>
      <c r="D109" s="248" t="s">
        <v>705</v>
      </c>
      <c r="E109" s="170">
        <v>1200</v>
      </c>
      <c r="F109" s="199"/>
      <c r="G109" s="200"/>
      <c r="H109" s="126"/>
      <c r="I109" s="126"/>
    </row>
    <row r="110" spans="1:9" s="149" customFormat="1" ht="13.5" customHeight="1">
      <c r="A110" s="184">
        <v>40409</v>
      </c>
      <c r="B110" s="123">
        <v>223</v>
      </c>
      <c r="C110" s="188" t="s">
        <v>14</v>
      </c>
      <c r="D110" s="248" t="s">
        <v>722</v>
      </c>
      <c r="E110" s="170">
        <v>2035.26</v>
      </c>
      <c r="F110" s="199"/>
      <c r="G110" s="200"/>
      <c r="H110" s="126"/>
      <c r="I110" s="126"/>
    </row>
    <row r="111" spans="1:9" s="110" customFormat="1" ht="13.5" customHeight="1">
      <c r="A111" s="164">
        <v>40410</v>
      </c>
      <c r="B111" s="127">
        <v>228</v>
      </c>
      <c r="C111" s="131" t="s">
        <v>14</v>
      </c>
      <c r="D111" s="248" t="s">
        <v>728</v>
      </c>
      <c r="E111" s="170">
        <v>1953.85</v>
      </c>
      <c r="F111" s="190"/>
      <c r="G111" s="168"/>
      <c r="H111" s="2"/>
      <c r="I111" s="2"/>
    </row>
    <row r="112" spans="1:9" s="110" customFormat="1" ht="13.5" customHeight="1">
      <c r="A112" s="164">
        <v>40410</v>
      </c>
      <c r="B112" s="127">
        <v>229</v>
      </c>
      <c r="C112" s="131" t="s">
        <v>14</v>
      </c>
      <c r="D112" s="248" t="s">
        <v>729</v>
      </c>
      <c r="E112" s="170">
        <v>5558.33</v>
      </c>
      <c r="F112" s="190"/>
      <c r="G112" s="168"/>
      <c r="H112" s="2"/>
      <c r="I112" s="2"/>
    </row>
    <row r="113" spans="1:9" s="110" customFormat="1" ht="13.5" customHeight="1">
      <c r="A113" s="164">
        <v>40410</v>
      </c>
      <c r="B113" s="127">
        <v>230</v>
      </c>
      <c r="C113" s="131" t="s">
        <v>14</v>
      </c>
      <c r="D113" s="248" t="s">
        <v>730</v>
      </c>
      <c r="E113" s="170">
        <v>206.41</v>
      </c>
      <c r="F113" s="190"/>
      <c r="G113" s="168"/>
      <c r="H113" s="2"/>
      <c r="I113" s="2"/>
    </row>
    <row r="114" spans="1:9" s="110" customFormat="1" ht="13.5" customHeight="1">
      <c r="A114" s="164">
        <v>40410</v>
      </c>
      <c r="B114" s="127">
        <v>231</v>
      </c>
      <c r="C114" s="131" t="s">
        <v>14</v>
      </c>
      <c r="D114" s="248" t="s">
        <v>731</v>
      </c>
      <c r="E114" s="170">
        <v>2053.85</v>
      </c>
      <c r="F114" s="190"/>
      <c r="G114" s="168"/>
      <c r="H114" s="2"/>
      <c r="I114" s="2"/>
    </row>
    <row r="115" spans="1:9" s="110" customFormat="1" ht="13.5" customHeight="1">
      <c r="A115" s="164">
        <v>40410</v>
      </c>
      <c r="B115" s="127">
        <v>232</v>
      </c>
      <c r="C115" s="131" t="s">
        <v>14</v>
      </c>
      <c r="D115" s="248" t="s">
        <v>732</v>
      </c>
      <c r="E115" s="170">
        <v>1825.64</v>
      </c>
      <c r="F115" s="190"/>
      <c r="G115" s="168"/>
      <c r="H115" s="2"/>
      <c r="I115" s="2"/>
    </row>
    <row r="116" spans="1:9" s="149" customFormat="1" ht="13.5" customHeight="1">
      <c r="A116" s="164">
        <v>40413</v>
      </c>
      <c r="B116" s="123">
        <v>234</v>
      </c>
      <c r="C116" s="188" t="s">
        <v>14</v>
      </c>
      <c r="D116" s="248" t="s">
        <v>742</v>
      </c>
      <c r="E116" s="170">
        <v>3960.9</v>
      </c>
      <c r="F116" s="199"/>
      <c r="G116" s="200"/>
      <c r="H116" s="126"/>
      <c r="I116" s="126"/>
    </row>
    <row r="117" spans="1:9" s="149" customFormat="1" ht="13.5" customHeight="1">
      <c r="A117" s="164">
        <v>40413</v>
      </c>
      <c r="B117" s="123">
        <v>235</v>
      </c>
      <c r="C117" s="188" t="s">
        <v>14</v>
      </c>
      <c r="D117" s="248" t="s">
        <v>743</v>
      </c>
      <c r="E117" s="170">
        <v>7465.4</v>
      </c>
      <c r="F117" s="199"/>
      <c r="G117" s="200"/>
      <c r="H117" s="126"/>
      <c r="I117" s="126"/>
    </row>
    <row r="118" spans="1:9" s="149" customFormat="1" ht="13.5" customHeight="1">
      <c r="A118" s="164">
        <v>40420</v>
      </c>
      <c r="B118" s="123">
        <v>250</v>
      </c>
      <c r="C118" s="188" t="s">
        <v>14</v>
      </c>
      <c r="D118" s="248" t="s">
        <v>754</v>
      </c>
      <c r="E118" s="170">
        <v>5477</v>
      </c>
      <c r="F118" s="199"/>
      <c r="G118" s="200"/>
      <c r="H118" s="126"/>
      <c r="I118" s="126"/>
    </row>
    <row r="119" spans="1:9" s="149" customFormat="1" ht="13.5" customHeight="1">
      <c r="A119" s="164">
        <v>40420</v>
      </c>
      <c r="B119" s="123">
        <v>252</v>
      </c>
      <c r="C119" s="188" t="s">
        <v>14</v>
      </c>
      <c r="D119" s="248" t="s">
        <v>752</v>
      </c>
      <c r="E119" s="170">
        <v>4800</v>
      </c>
      <c r="F119" s="199"/>
      <c r="G119" s="200"/>
      <c r="H119" s="126"/>
      <c r="I119" s="126"/>
    </row>
    <row r="120" spans="1:9" s="149" customFormat="1" ht="13.5" customHeight="1">
      <c r="A120" s="164">
        <v>40423</v>
      </c>
      <c r="B120" s="123">
        <v>261</v>
      </c>
      <c r="C120" s="188" t="s">
        <v>14</v>
      </c>
      <c r="D120" s="248" t="s">
        <v>753</v>
      </c>
      <c r="E120" s="170">
        <v>1100</v>
      </c>
      <c r="F120" s="199"/>
      <c r="G120" s="200"/>
      <c r="H120" s="126"/>
      <c r="I120" s="126"/>
    </row>
    <row r="121" spans="1:9" s="149" customFormat="1" ht="13.5" customHeight="1">
      <c r="A121" s="164">
        <v>40435</v>
      </c>
      <c r="B121" s="123">
        <v>284</v>
      </c>
      <c r="C121" s="188" t="s">
        <v>14</v>
      </c>
      <c r="D121" s="248" t="s">
        <v>814</v>
      </c>
      <c r="E121" s="170">
        <v>1310</v>
      </c>
      <c r="F121" s="199"/>
      <c r="G121" s="200"/>
      <c r="H121" s="126"/>
      <c r="I121" s="126"/>
    </row>
    <row r="122" spans="1:9" s="149" customFormat="1" ht="13.5" customHeight="1">
      <c r="A122" s="164">
        <v>40435</v>
      </c>
      <c r="B122" s="123">
        <v>285</v>
      </c>
      <c r="C122" s="188" t="s">
        <v>14</v>
      </c>
      <c r="D122" s="248" t="s">
        <v>793</v>
      </c>
      <c r="E122" s="170">
        <v>4000</v>
      </c>
      <c r="F122" s="199"/>
      <c r="G122" s="200"/>
      <c r="H122" s="126"/>
      <c r="I122" s="126"/>
    </row>
    <row r="123" spans="1:9" s="149" customFormat="1" ht="13.5" customHeight="1">
      <c r="A123" s="164">
        <v>40438</v>
      </c>
      <c r="B123" s="123">
        <v>294</v>
      </c>
      <c r="C123" s="188" t="s">
        <v>14</v>
      </c>
      <c r="D123" s="248" t="s">
        <v>751</v>
      </c>
      <c r="E123" s="170">
        <v>5650</v>
      </c>
      <c r="F123" s="199"/>
      <c r="G123" s="200"/>
      <c r="H123" s="126"/>
      <c r="I123" s="126"/>
    </row>
    <row r="124" spans="1:9" s="149" customFormat="1" ht="13.5" customHeight="1">
      <c r="A124" s="164">
        <v>40438</v>
      </c>
      <c r="B124" s="123">
        <v>295</v>
      </c>
      <c r="C124" s="188" t="s">
        <v>14</v>
      </c>
      <c r="D124" s="248" t="s">
        <v>813</v>
      </c>
      <c r="E124" s="170">
        <v>600</v>
      </c>
      <c r="F124" s="199"/>
      <c r="G124" s="200"/>
      <c r="H124" s="126"/>
      <c r="I124" s="126"/>
    </row>
    <row r="125" spans="1:9" s="149" customFormat="1" ht="13.5" customHeight="1">
      <c r="A125" s="164">
        <v>40443</v>
      </c>
      <c r="B125" s="123">
        <v>303</v>
      </c>
      <c r="C125" s="188" t="s">
        <v>14</v>
      </c>
      <c r="D125" s="248" t="s">
        <v>815</v>
      </c>
      <c r="E125" s="170">
        <v>200</v>
      </c>
      <c r="F125" s="199"/>
      <c r="G125" s="200"/>
      <c r="H125" s="126"/>
      <c r="I125" s="126"/>
    </row>
    <row r="126" spans="1:9" s="149" customFormat="1" ht="13.5" customHeight="1">
      <c r="A126" s="164">
        <v>40465</v>
      </c>
      <c r="B126" s="123">
        <v>332</v>
      </c>
      <c r="C126" s="188" t="s">
        <v>14</v>
      </c>
      <c r="D126" s="248" t="s">
        <v>893</v>
      </c>
      <c r="E126" s="170">
        <v>2760</v>
      </c>
      <c r="F126" s="199"/>
      <c r="G126" s="200"/>
      <c r="H126" s="126"/>
      <c r="I126" s="126"/>
    </row>
    <row r="127" spans="1:9" s="149" customFormat="1" ht="13.5" customHeight="1">
      <c r="A127" s="164">
        <v>40469</v>
      </c>
      <c r="B127" s="123">
        <v>336</v>
      </c>
      <c r="C127" s="188" t="s">
        <v>14</v>
      </c>
      <c r="D127" s="248" t="s">
        <v>892</v>
      </c>
      <c r="E127" s="170">
        <v>1865</v>
      </c>
      <c r="F127" s="199"/>
      <c r="G127" s="200"/>
      <c r="H127" s="126"/>
      <c r="I127" s="126"/>
    </row>
    <row r="128" spans="1:10" s="269" customFormat="1" ht="12.75">
      <c r="A128" s="263">
        <v>40469</v>
      </c>
      <c r="B128" s="264">
        <v>338</v>
      </c>
      <c r="C128" s="265" t="s">
        <v>14</v>
      </c>
      <c r="D128" s="266" t="s">
        <v>903</v>
      </c>
      <c r="E128" s="170">
        <v>1450</v>
      </c>
      <c r="F128" s="267"/>
      <c r="G128" s="268"/>
      <c r="J128" s="270"/>
    </row>
    <row r="129" spans="1:10" s="269" customFormat="1" ht="12.75">
      <c r="A129" s="164">
        <v>40480</v>
      </c>
      <c r="B129" s="264">
        <v>354</v>
      </c>
      <c r="C129" s="265" t="s">
        <v>14</v>
      </c>
      <c r="D129" s="266" t="s">
        <v>915</v>
      </c>
      <c r="E129" s="170">
        <v>250</v>
      </c>
      <c r="F129" s="267"/>
      <c r="G129" s="268"/>
      <c r="J129" s="270"/>
    </row>
    <row r="130" spans="1:10" s="269" customFormat="1" ht="12.75">
      <c r="A130" s="164">
        <v>40504</v>
      </c>
      <c r="B130" s="264">
        <v>377</v>
      </c>
      <c r="C130" s="265" t="s">
        <v>14</v>
      </c>
      <c r="D130" s="266" t="s">
        <v>950</v>
      </c>
      <c r="E130" s="170">
        <v>1000</v>
      </c>
      <c r="F130" s="267"/>
      <c r="G130" s="268"/>
      <c r="J130" s="270"/>
    </row>
    <row r="131" spans="1:10" s="269" customFormat="1" ht="12.75">
      <c r="A131" s="164">
        <v>40504</v>
      </c>
      <c r="B131" s="264">
        <v>378</v>
      </c>
      <c r="C131" s="265" t="s">
        <v>14</v>
      </c>
      <c r="D131" s="266" t="s">
        <v>916</v>
      </c>
      <c r="E131" s="170">
        <v>375</v>
      </c>
      <c r="F131" s="267"/>
      <c r="G131" s="268"/>
      <c r="J131" s="270"/>
    </row>
    <row r="132" spans="1:10" s="269" customFormat="1" ht="12.75">
      <c r="A132" s="184">
        <v>40529</v>
      </c>
      <c r="B132" s="264">
        <v>428</v>
      </c>
      <c r="C132" s="265" t="s">
        <v>14</v>
      </c>
      <c r="D132" s="266" t="s">
        <v>1032</v>
      </c>
      <c r="E132" s="170">
        <v>1125</v>
      </c>
      <c r="F132" s="267"/>
      <c r="G132" s="268"/>
      <c r="J132" s="270"/>
    </row>
    <row r="133" spans="1:10" s="269" customFormat="1" ht="12.75">
      <c r="A133" s="184">
        <v>40529</v>
      </c>
      <c r="B133" s="264">
        <v>429</v>
      </c>
      <c r="C133" s="265" t="s">
        <v>14</v>
      </c>
      <c r="D133" s="266" t="s">
        <v>1033</v>
      </c>
      <c r="E133" s="170">
        <v>500</v>
      </c>
      <c r="F133" s="267"/>
      <c r="G133" s="268"/>
      <c r="J133" s="270"/>
    </row>
    <row r="134" spans="1:10" s="269" customFormat="1" ht="12.75">
      <c r="A134" s="184">
        <v>40533</v>
      </c>
      <c r="B134" s="264">
        <v>443</v>
      </c>
      <c r="C134" s="265" t="s">
        <v>14</v>
      </c>
      <c r="D134" s="277" t="s">
        <v>1058</v>
      </c>
      <c r="E134" s="170">
        <v>1125</v>
      </c>
      <c r="F134" s="267"/>
      <c r="G134" s="268"/>
      <c r="J134" s="270"/>
    </row>
    <row r="135" spans="1:10" s="269" customFormat="1" ht="12.75">
      <c r="A135" s="184">
        <v>40539</v>
      </c>
      <c r="B135" s="264">
        <v>456</v>
      </c>
      <c r="C135" s="265" t="s">
        <v>14</v>
      </c>
      <c r="D135" s="266" t="s">
        <v>1050</v>
      </c>
      <c r="E135" s="170">
        <v>2940</v>
      </c>
      <c r="F135" s="267"/>
      <c r="G135" s="268"/>
      <c r="J135" s="270"/>
    </row>
    <row r="136" spans="1:11" s="110" customFormat="1" ht="13.5" customHeight="1">
      <c r="A136" s="164">
        <v>40540</v>
      </c>
      <c r="B136" s="127">
        <v>459</v>
      </c>
      <c r="C136" s="188" t="s">
        <v>14</v>
      </c>
      <c r="D136" s="149" t="s">
        <v>1062</v>
      </c>
      <c r="E136" s="170">
        <v>6838</v>
      </c>
      <c r="F136" s="190"/>
      <c r="G136" s="168"/>
      <c r="H136" s="235"/>
      <c r="I136" s="235"/>
      <c r="K136" s="149"/>
    </row>
    <row r="137" spans="1:11" ht="12.75">
      <c r="A137" s="74"/>
      <c r="C137" s="1"/>
      <c r="G137" s="5"/>
      <c r="H137" s="2"/>
      <c r="J137" s="9"/>
      <c r="K137" s="5"/>
    </row>
    <row r="138" spans="1:7" ht="12.75">
      <c r="A138" s="74"/>
      <c r="E138" s="73">
        <f>SUM(E94:E137)</f>
        <v>104997.90000000001</v>
      </c>
      <c r="F138" s="73">
        <f>SUM(F137:F137)</f>
        <v>0</v>
      </c>
      <c r="G138" s="73">
        <f>SUM(E138:F138)</f>
        <v>104997.90000000001</v>
      </c>
    </row>
    <row r="139" ht="12.75">
      <c r="A139" s="74"/>
    </row>
    <row r="140" spans="1:10" s="110" customFormat="1" ht="12.75">
      <c r="A140" s="74">
        <v>40217</v>
      </c>
      <c r="B140" s="127">
        <v>13</v>
      </c>
      <c r="C140" s="131" t="s">
        <v>41</v>
      </c>
      <c r="D140" s="112" t="s">
        <v>330</v>
      </c>
      <c r="E140" s="111">
        <v>-600</v>
      </c>
      <c r="F140" s="190"/>
      <c r="G140" s="168"/>
      <c r="J140" s="129"/>
    </row>
    <row r="141" spans="1:9" s="110" customFormat="1" ht="13.5" customHeight="1">
      <c r="A141" s="164">
        <v>40325</v>
      </c>
      <c r="B141" s="127">
        <v>112</v>
      </c>
      <c r="C141" s="188" t="s">
        <v>41</v>
      </c>
      <c r="D141" s="248" t="s">
        <v>487</v>
      </c>
      <c r="E141" s="170">
        <v>1000</v>
      </c>
      <c r="F141" s="190"/>
      <c r="G141" s="168"/>
      <c r="H141" s="2"/>
      <c r="I141" s="2"/>
    </row>
    <row r="142" spans="1:9" s="110" customFormat="1" ht="13.5" customHeight="1">
      <c r="A142" s="164">
        <v>40331</v>
      </c>
      <c r="B142" s="127">
        <v>121</v>
      </c>
      <c r="C142" s="188" t="s">
        <v>41</v>
      </c>
      <c r="D142" s="248" t="s">
        <v>486</v>
      </c>
      <c r="E142" s="170">
        <v>800</v>
      </c>
      <c r="F142" s="190"/>
      <c r="G142" s="168"/>
      <c r="H142" s="2"/>
      <c r="I142" s="2"/>
    </row>
    <row r="143" spans="1:9" s="110" customFormat="1" ht="13.5" customHeight="1">
      <c r="A143" s="164">
        <v>40336</v>
      </c>
      <c r="B143" s="127">
        <v>124</v>
      </c>
      <c r="C143" s="188" t="s">
        <v>41</v>
      </c>
      <c r="D143" s="248" t="s">
        <v>483</v>
      </c>
      <c r="E143" s="170">
        <v>5000</v>
      </c>
      <c r="F143" s="190"/>
      <c r="G143" s="168"/>
      <c r="H143" s="2"/>
      <c r="I143" s="2"/>
    </row>
    <row r="144" spans="1:9" s="110" customFormat="1" ht="13.5" customHeight="1">
      <c r="A144" s="164">
        <v>40336</v>
      </c>
      <c r="B144" s="127">
        <v>125</v>
      </c>
      <c r="C144" s="188" t="s">
        <v>41</v>
      </c>
      <c r="D144" s="248" t="s">
        <v>488</v>
      </c>
      <c r="E144" s="170">
        <v>8050</v>
      </c>
      <c r="F144" s="190"/>
      <c r="G144" s="168"/>
      <c r="H144" s="2"/>
      <c r="I144" s="2"/>
    </row>
    <row r="145" spans="1:9" s="110" customFormat="1" ht="13.5" customHeight="1">
      <c r="A145" s="184">
        <v>40337</v>
      </c>
      <c r="B145" s="123">
        <v>134</v>
      </c>
      <c r="C145" s="188" t="s">
        <v>41</v>
      </c>
      <c r="D145" s="248" t="s">
        <v>484</v>
      </c>
      <c r="E145" s="170">
        <v>1000</v>
      </c>
      <c r="F145" s="190"/>
      <c r="G145" s="168"/>
      <c r="H145" s="2"/>
      <c r="I145" s="2"/>
    </row>
    <row r="146" spans="1:9" s="110" customFormat="1" ht="13.5" customHeight="1">
      <c r="A146" s="184">
        <v>40337</v>
      </c>
      <c r="B146" s="123">
        <v>135</v>
      </c>
      <c r="C146" s="188" t="s">
        <v>41</v>
      </c>
      <c r="D146" s="248" t="s">
        <v>490</v>
      </c>
      <c r="E146" s="170">
        <v>1610</v>
      </c>
      <c r="F146" s="190"/>
      <c r="G146" s="168"/>
      <c r="H146" s="2"/>
      <c r="I146" s="2"/>
    </row>
    <row r="147" spans="1:9" s="110" customFormat="1" ht="13.5" customHeight="1">
      <c r="A147" s="164">
        <v>40338</v>
      </c>
      <c r="B147" s="127">
        <v>140</v>
      </c>
      <c r="C147" s="188" t="s">
        <v>41</v>
      </c>
      <c r="D147" s="248" t="s">
        <v>485</v>
      </c>
      <c r="E147" s="170">
        <v>17400</v>
      </c>
      <c r="F147" s="190"/>
      <c r="G147" s="168"/>
      <c r="H147" s="2"/>
      <c r="I147" s="2"/>
    </row>
    <row r="148" spans="1:10" s="110" customFormat="1" ht="12.75">
      <c r="A148" s="74">
        <v>40339</v>
      </c>
      <c r="B148" s="127">
        <v>146</v>
      </c>
      <c r="C148" s="131" t="s">
        <v>41</v>
      </c>
      <c r="D148" s="248" t="s">
        <v>482</v>
      </c>
      <c r="E148" s="170">
        <v>1345</v>
      </c>
      <c r="F148" s="190"/>
      <c r="G148" s="168"/>
      <c r="J148" s="129"/>
    </row>
    <row r="149" spans="1:9" s="149" customFormat="1" ht="13.5" customHeight="1">
      <c r="A149" s="184">
        <v>40364</v>
      </c>
      <c r="B149" s="123">
        <v>175</v>
      </c>
      <c r="C149" s="188" t="s">
        <v>41</v>
      </c>
      <c r="D149" s="248" t="s">
        <v>651</v>
      </c>
      <c r="E149" s="170">
        <v>-1000</v>
      </c>
      <c r="F149" s="199"/>
      <c r="G149" s="200"/>
      <c r="H149" s="126"/>
      <c r="I149" s="126"/>
    </row>
    <row r="150" spans="1:9" s="110" customFormat="1" ht="13.5" customHeight="1">
      <c r="A150" s="184">
        <v>40364</v>
      </c>
      <c r="B150" s="127">
        <v>177</v>
      </c>
      <c r="C150" s="188" t="s">
        <v>41</v>
      </c>
      <c r="D150" s="248" t="s">
        <v>633</v>
      </c>
      <c r="E150" s="170">
        <v>5500</v>
      </c>
      <c r="F150" s="190"/>
      <c r="G150" s="168"/>
      <c r="H150" s="2"/>
      <c r="I150" s="2"/>
    </row>
    <row r="151" spans="1:9" s="110" customFormat="1" ht="13.5" customHeight="1">
      <c r="A151" s="164">
        <v>40365</v>
      </c>
      <c r="B151" s="127">
        <v>180</v>
      </c>
      <c r="C151" s="188" t="s">
        <v>41</v>
      </c>
      <c r="D151" s="248" t="s">
        <v>634</v>
      </c>
      <c r="E151" s="170">
        <v>6000</v>
      </c>
      <c r="F151" s="190"/>
      <c r="G151" s="168"/>
      <c r="H151" s="2"/>
      <c r="I151" s="2"/>
    </row>
    <row r="152" spans="1:9" s="110" customFormat="1" ht="13.5" customHeight="1">
      <c r="A152" s="164">
        <v>40365</v>
      </c>
      <c r="B152" s="127">
        <v>182</v>
      </c>
      <c r="C152" s="188" t="s">
        <v>41</v>
      </c>
      <c r="D152" s="248" t="s">
        <v>636</v>
      </c>
      <c r="E152" s="170">
        <v>1500</v>
      </c>
      <c r="F152" s="190"/>
      <c r="G152" s="168"/>
      <c r="H152" s="2"/>
      <c r="I152" s="2"/>
    </row>
    <row r="153" spans="1:9" s="110" customFormat="1" ht="13.5" customHeight="1">
      <c r="A153" s="184">
        <v>40371</v>
      </c>
      <c r="B153" s="127">
        <v>186</v>
      </c>
      <c r="C153" s="188" t="s">
        <v>41</v>
      </c>
      <c r="D153" s="248" t="s">
        <v>635</v>
      </c>
      <c r="E153" s="170">
        <v>3000</v>
      </c>
      <c r="F153" s="190"/>
      <c r="G153" s="168"/>
      <c r="H153" s="2"/>
      <c r="I153" s="2"/>
    </row>
    <row r="154" spans="1:9" s="110" customFormat="1" ht="13.5" customHeight="1">
      <c r="A154" s="164">
        <v>40372</v>
      </c>
      <c r="B154" s="127">
        <v>189</v>
      </c>
      <c r="C154" s="188" t="s">
        <v>41</v>
      </c>
      <c r="D154" s="248" t="s">
        <v>489</v>
      </c>
      <c r="E154" s="170">
        <v>11400</v>
      </c>
      <c r="F154" s="190"/>
      <c r="G154" s="168"/>
      <c r="H154" s="2"/>
      <c r="I154" s="2"/>
    </row>
    <row r="155" spans="1:9" s="149" customFormat="1" ht="13.5" customHeight="1">
      <c r="A155" s="164">
        <v>40435</v>
      </c>
      <c r="B155" s="123">
        <v>283</v>
      </c>
      <c r="C155" s="188" t="s">
        <v>41</v>
      </c>
      <c r="D155" s="248" t="s">
        <v>817</v>
      </c>
      <c r="E155" s="170">
        <v>12720</v>
      </c>
      <c r="F155" s="199"/>
      <c r="G155" s="200"/>
      <c r="H155" s="126"/>
      <c r="I155" s="126"/>
    </row>
    <row r="156" spans="1:9" s="149" customFormat="1" ht="13.5" customHeight="1">
      <c r="A156" s="164">
        <v>40438</v>
      </c>
      <c r="B156" s="123">
        <v>297</v>
      </c>
      <c r="C156" s="188" t="s">
        <v>41</v>
      </c>
      <c r="D156" s="248" t="s">
        <v>818</v>
      </c>
      <c r="E156" s="170">
        <v>1690</v>
      </c>
      <c r="F156" s="199"/>
      <c r="G156" s="200"/>
      <c r="H156" s="126"/>
      <c r="I156" s="126"/>
    </row>
    <row r="157" spans="1:9" s="149" customFormat="1" ht="13.5" customHeight="1">
      <c r="A157" s="164">
        <v>40444</v>
      </c>
      <c r="B157" s="185">
        <v>307</v>
      </c>
      <c r="C157" s="188" t="s">
        <v>41</v>
      </c>
      <c r="D157" s="248" t="s">
        <v>819</v>
      </c>
      <c r="E157" s="170">
        <v>1590</v>
      </c>
      <c r="F157" s="199"/>
      <c r="G157" s="200"/>
      <c r="H157" s="126"/>
      <c r="I157" s="126"/>
    </row>
    <row r="158" spans="1:9" s="149" customFormat="1" ht="13.5" customHeight="1">
      <c r="A158" s="164">
        <v>40465</v>
      </c>
      <c r="B158" s="123">
        <v>331</v>
      </c>
      <c r="C158" s="188" t="s">
        <v>41</v>
      </c>
      <c r="D158" s="248" t="s">
        <v>891</v>
      </c>
      <c r="E158" s="170">
        <v>500</v>
      </c>
      <c r="F158" s="199"/>
      <c r="G158" s="200"/>
      <c r="H158" s="126"/>
      <c r="I158" s="126"/>
    </row>
    <row r="159" spans="1:9" s="149" customFormat="1" ht="13.5" customHeight="1">
      <c r="A159" s="164">
        <v>40480</v>
      </c>
      <c r="B159" s="185">
        <v>356</v>
      </c>
      <c r="C159" s="188" t="s">
        <v>41</v>
      </c>
      <c r="D159" s="248" t="s">
        <v>943</v>
      </c>
      <c r="E159" s="170">
        <v>9750.63</v>
      </c>
      <c r="F159" s="199"/>
      <c r="G159" s="200"/>
      <c r="H159" s="126"/>
      <c r="I159" s="126"/>
    </row>
    <row r="160" spans="1:9" s="149" customFormat="1" ht="13.5" customHeight="1">
      <c r="A160" s="164">
        <v>40492</v>
      </c>
      <c r="B160" s="123">
        <v>366</v>
      </c>
      <c r="C160" s="188" t="s">
        <v>41</v>
      </c>
      <c r="D160" s="248" t="s">
        <v>961</v>
      </c>
      <c r="E160" s="170">
        <v>1300</v>
      </c>
      <c r="F160" s="199"/>
      <c r="G160" s="200"/>
      <c r="H160" s="126"/>
      <c r="I160" s="126"/>
    </row>
    <row r="161" spans="1:9" s="149" customFormat="1" ht="13.5" customHeight="1">
      <c r="A161" s="164">
        <v>40497</v>
      </c>
      <c r="B161" s="123">
        <v>370</v>
      </c>
      <c r="C161" s="188" t="s">
        <v>41</v>
      </c>
      <c r="D161" s="248" t="s">
        <v>962</v>
      </c>
      <c r="E161" s="170">
        <v>8100</v>
      </c>
      <c r="F161" s="199"/>
      <c r="G161" s="200"/>
      <c r="H161" s="126"/>
      <c r="I161" s="126"/>
    </row>
    <row r="162" spans="1:9" s="149" customFormat="1" ht="13.5" customHeight="1">
      <c r="A162" s="164">
        <v>40501</v>
      </c>
      <c r="B162" s="123">
        <v>373</v>
      </c>
      <c r="C162" s="188" t="s">
        <v>41</v>
      </c>
      <c r="D162" s="248" t="s">
        <v>965</v>
      </c>
      <c r="E162" s="170">
        <v>600</v>
      </c>
      <c r="F162" s="199"/>
      <c r="G162" s="200"/>
      <c r="H162" s="126"/>
      <c r="I162" s="126"/>
    </row>
    <row r="163" spans="1:9" s="149" customFormat="1" ht="13.5" customHeight="1">
      <c r="A163" s="164">
        <v>40501</v>
      </c>
      <c r="B163" s="123">
        <v>373</v>
      </c>
      <c r="C163" s="188" t="s">
        <v>41</v>
      </c>
      <c r="D163" s="248" t="s">
        <v>966</v>
      </c>
      <c r="E163" s="170">
        <v>600</v>
      </c>
      <c r="F163" s="199"/>
      <c r="G163" s="200"/>
      <c r="H163" s="126"/>
      <c r="I163" s="126"/>
    </row>
    <row r="164" spans="1:9" s="149" customFormat="1" ht="13.5" customHeight="1">
      <c r="A164" s="164">
        <v>40504</v>
      </c>
      <c r="B164" s="123">
        <v>376</v>
      </c>
      <c r="C164" s="188" t="s">
        <v>41</v>
      </c>
      <c r="D164" s="248" t="s">
        <v>944</v>
      </c>
      <c r="E164" s="170">
        <v>5900.38</v>
      </c>
      <c r="F164" s="199"/>
      <c r="G164" s="200"/>
      <c r="H164" s="126"/>
      <c r="I164" s="126"/>
    </row>
    <row r="165" spans="1:9" s="149" customFormat="1" ht="13.5" customHeight="1">
      <c r="A165" s="164">
        <v>40504</v>
      </c>
      <c r="B165" s="123">
        <v>379</v>
      </c>
      <c r="C165" s="188" t="s">
        <v>41</v>
      </c>
      <c r="D165" s="248" t="s">
        <v>964</v>
      </c>
      <c r="E165" s="170">
        <v>5400</v>
      </c>
      <c r="F165" s="199"/>
      <c r="G165" s="200"/>
      <c r="H165" s="126"/>
      <c r="I165" s="126"/>
    </row>
    <row r="166" spans="1:9" s="149" customFormat="1" ht="13.5" customHeight="1">
      <c r="A166" s="164">
        <v>40504</v>
      </c>
      <c r="B166" s="123">
        <v>380</v>
      </c>
      <c r="C166" s="188" t="s">
        <v>41</v>
      </c>
      <c r="D166" s="248" t="s">
        <v>963</v>
      </c>
      <c r="E166" s="170">
        <v>700</v>
      </c>
      <c r="F166" s="199"/>
      <c r="G166" s="200"/>
      <c r="H166" s="126"/>
      <c r="I166" s="126"/>
    </row>
    <row r="167" spans="1:9" s="149" customFormat="1" ht="13.5" customHeight="1">
      <c r="A167" s="184">
        <v>40512</v>
      </c>
      <c r="B167" s="123">
        <v>395</v>
      </c>
      <c r="C167" s="188" t="s">
        <v>41</v>
      </c>
      <c r="D167" s="248" t="s">
        <v>651</v>
      </c>
      <c r="E167" s="170">
        <v>-1000</v>
      </c>
      <c r="F167" s="199"/>
      <c r="G167" s="200"/>
      <c r="H167" s="126"/>
      <c r="I167" s="126"/>
    </row>
    <row r="168" spans="1:9" s="149" customFormat="1" ht="13.5" customHeight="1">
      <c r="A168" s="164">
        <v>40526</v>
      </c>
      <c r="B168" s="123">
        <v>418</v>
      </c>
      <c r="C168" s="188" t="s">
        <v>41</v>
      </c>
      <c r="D168" s="248" t="s">
        <v>1029</v>
      </c>
      <c r="E168" s="170">
        <v>1365.6</v>
      </c>
      <c r="F168" s="199"/>
      <c r="G168" s="200"/>
      <c r="H168" s="126"/>
      <c r="I168" s="126"/>
    </row>
    <row r="169" spans="1:9" s="149" customFormat="1" ht="13.5" customHeight="1">
      <c r="A169" s="184">
        <v>40529</v>
      </c>
      <c r="B169" s="123">
        <v>430</v>
      </c>
      <c r="C169" s="188" t="s">
        <v>41</v>
      </c>
      <c r="D169" s="248" t="s">
        <v>1028</v>
      </c>
      <c r="E169" s="170">
        <v>2048.4</v>
      </c>
      <c r="F169" s="199"/>
      <c r="G169" s="200"/>
      <c r="H169" s="126"/>
      <c r="I169" s="126"/>
    </row>
    <row r="170" spans="1:10" s="269" customFormat="1" ht="12.75">
      <c r="A170" s="184">
        <v>40539</v>
      </c>
      <c r="B170" s="264">
        <v>457</v>
      </c>
      <c r="C170" s="265" t="s">
        <v>41</v>
      </c>
      <c r="D170" s="266" t="s">
        <v>1052</v>
      </c>
      <c r="E170" s="170">
        <v>6500</v>
      </c>
      <c r="F170" s="267"/>
      <c r="G170" s="268"/>
      <c r="J170" s="270"/>
    </row>
    <row r="171" spans="1:10" s="269" customFormat="1" ht="12.75">
      <c r="A171" s="164">
        <v>40543</v>
      </c>
      <c r="B171" s="264">
        <v>466</v>
      </c>
      <c r="C171" s="265" t="s">
        <v>41</v>
      </c>
      <c r="D171" s="266" t="s">
        <v>1053</v>
      </c>
      <c r="E171" s="170">
        <v>3250</v>
      </c>
      <c r="F171" s="267"/>
      <c r="G171" s="268"/>
      <c r="J171" s="270"/>
    </row>
    <row r="172" spans="1:11" ht="12.75">
      <c r="A172" s="74"/>
      <c r="C172" s="1"/>
      <c r="D172" s="71"/>
      <c r="G172" s="5"/>
      <c r="H172" s="2"/>
      <c r="J172" s="9"/>
      <c r="K172" s="5"/>
    </row>
    <row r="173" spans="1:7" ht="12.75">
      <c r="A173" s="74"/>
      <c r="E173" s="73">
        <f>SUM(E140:E172)</f>
        <v>123020.01000000001</v>
      </c>
      <c r="F173" s="73">
        <f>SUM(F172:F172)</f>
        <v>0</v>
      </c>
      <c r="G173" s="73">
        <f>SUM(E173:F173)</f>
        <v>123020.01000000001</v>
      </c>
    </row>
    <row r="174" ht="12.75">
      <c r="A174" s="74"/>
    </row>
    <row r="175" spans="1:11" ht="12.75">
      <c r="A175" s="74"/>
      <c r="C175" s="81" t="s">
        <v>43</v>
      </c>
      <c r="E175" s="5">
        <v>0</v>
      </c>
      <c r="G175" s="5"/>
      <c r="H175" s="2"/>
      <c r="J175" s="9"/>
      <c r="K175" s="5"/>
    </row>
    <row r="176" spans="1:11" ht="12.75">
      <c r="A176" s="74"/>
      <c r="C176" s="1"/>
      <c r="D176" s="71"/>
      <c r="G176" s="5"/>
      <c r="H176" s="2"/>
      <c r="J176" s="9"/>
      <c r="K176" s="5"/>
    </row>
    <row r="177" spans="1:7" ht="12.75">
      <c r="A177" s="74"/>
      <c r="E177" s="73">
        <f>SUM(E175:E176)</f>
        <v>0</v>
      </c>
      <c r="F177" s="73">
        <f>SUM(F175:F176)</f>
        <v>0</v>
      </c>
      <c r="G177" s="73">
        <f>SUM(E177:F177)</f>
        <v>0</v>
      </c>
    </row>
    <row r="178" ht="12.75">
      <c r="A178" s="74"/>
    </row>
    <row r="179" spans="1:11" s="237" customFormat="1" ht="12.75">
      <c r="A179" s="164">
        <v>40294</v>
      </c>
      <c r="B179" s="236">
        <v>46</v>
      </c>
      <c r="C179" s="236">
        <v>35</v>
      </c>
      <c r="D179" s="126" t="s">
        <v>411</v>
      </c>
      <c r="E179" s="238">
        <v>395</v>
      </c>
      <c r="F179" s="238"/>
      <c r="G179" s="238"/>
      <c r="H179" s="237" t="s">
        <v>15</v>
      </c>
      <c r="J179" s="239"/>
      <c r="K179" s="238"/>
    </row>
    <row r="180" spans="1:11" s="237" customFormat="1" ht="12.75">
      <c r="A180" s="164">
        <v>40294</v>
      </c>
      <c r="B180" s="236">
        <v>47</v>
      </c>
      <c r="C180" s="236">
        <v>35</v>
      </c>
      <c r="D180" s="126" t="s">
        <v>412</v>
      </c>
      <c r="E180" s="171">
        <v>395</v>
      </c>
      <c r="F180" s="238"/>
      <c r="G180" s="238"/>
      <c r="H180" s="237" t="s">
        <v>15</v>
      </c>
      <c r="J180" s="239"/>
      <c r="K180" s="238"/>
    </row>
    <row r="181" spans="1:11" s="237" customFormat="1" ht="12.75">
      <c r="A181" s="164">
        <v>40294</v>
      </c>
      <c r="B181" s="236">
        <v>48</v>
      </c>
      <c r="C181" s="236">
        <v>35</v>
      </c>
      <c r="D181" s="126" t="s">
        <v>413</v>
      </c>
      <c r="E181" s="171">
        <v>787.5</v>
      </c>
      <c r="F181" s="238"/>
      <c r="G181" s="238"/>
      <c r="H181" s="237" t="s">
        <v>15</v>
      </c>
      <c r="J181" s="239"/>
      <c r="K181" s="238"/>
    </row>
    <row r="182" spans="1:11" s="237" customFormat="1" ht="12.75">
      <c r="A182" s="164">
        <v>40294</v>
      </c>
      <c r="B182" s="236">
        <v>49</v>
      </c>
      <c r="C182" s="236">
        <v>35</v>
      </c>
      <c r="D182" s="126" t="s">
        <v>414</v>
      </c>
      <c r="E182" s="171">
        <v>1602.5</v>
      </c>
      <c r="F182" s="238"/>
      <c r="G182" s="238"/>
      <c r="H182" s="237" t="s">
        <v>15</v>
      </c>
      <c r="J182" s="239"/>
      <c r="K182" s="238"/>
    </row>
    <row r="183" spans="1:11" s="237" customFormat="1" ht="12.75">
      <c r="A183" s="164">
        <v>40296</v>
      </c>
      <c r="B183" s="236">
        <v>54</v>
      </c>
      <c r="C183" s="236">
        <v>35</v>
      </c>
      <c r="D183" s="126" t="s">
        <v>415</v>
      </c>
      <c r="E183" s="171">
        <v>387.5</v>
      </c>
      <c r="F183" s="238"/>
      <c r="G183" s="238"/>
      <c r="H183" s="237" t="s">
        <v>15</v>
      </c>
      <c r="J183" s="239"/>
      <c r="K183" s="238"/>
    </row>
    <row r="184" spans="1:11" s="237" customFormat="1" ht="12.75">
      <c r="A184" s="164">
        <v>40296</v>
      </c>
      <c r="B184" s="236">
        <v>54</v>
      </c>
      <c r="C184" s="236">
        <v>35</v>
      </c>
      <c r="D184" s="126" t="s">
        <v>416</v>
      </c>
      <c r="E184" s="171">
        <v>1375</v>
      </c>
      <c r="F184" s="238"/>
      <c r="G184" s="238"/>
      <c r="H184" s="237" t="s">
        <v>15</v>
      </c>
      <c r="J184" s="239"/>
      <c r="K184" s="238"/>
    </row>
    <row r="185" spans="1:11" s="237" customFormat="1" ht="12.75">
      <c r="A185" s="164">
        <v>40296</v>
      </c>
      <c r="B185" s="236">
        <v>55</v>
      </c>
      <c r="C185" s="236">
        <v>35</v>
      </c>
      <c r="D185" s="126" t="s">
        <v>417</v>
      </c>
      <c r="E185" s="171">
        <v>3943.75</v>
      </c>
      <c r="F185" s="238"/>
      <c r="G185" s="238"/>
      <c r="H185" s="237" t="s">
        <v>15</v>
      </c>
      <c r="J185" s="239"/>
      <c r="K185" s="238"/>
    </row>
    <row r="186" spans="1:11" s="237" customFormat="1" ht="12.75">
      <c r="A186" s="164">
        <v>40296</v>
      </c>
      <c r="B186" s="236">
        <v>56</v>
      </c>
      <c r="C186" s="236">
        <v>35</v>
      </c>
      <c r="D186" s="126" t="s">
        <v>418</v>
      </c>
      <c r="E186" s="171">
        <v>2936.25</v>
      </c>
      <c r="F186" s="238"/>
      <c r="G186" s="238"/>
      <c r="H186" s="237" t="s">
        <v>15</v>
      </c>
      <c r="J186" s="239"/>
      <c r="K186" s="238"/>
    </row>
    <row r="187" spans="1:11" s="237" customFormat="1" ht="12.75">
      <c r="A187" s="164">
        <v>40297</v>
      </c>
      <c r="B187" s="236">
        <v>58</v>
      </c>
      <c r="C187" s="236">
        <v>35</v>
      </c>
      <c r="D187" s="126" t="s">
        <v>420</v>
      </c>
      <c r="E187" s="171">
        <v>632.5</v>
      </c>
      <c r="F187" s="238"/>
      <c r="G187" s="238"/>
      <c r="H187" s="237" t="s">
        <v>15</v>
      </c>
      <c r="J187" s="239"/>
      <c r="K187" s="238"/>
    </row>
    <row r="188" spans="1:11" s="237" customFormat="1" ht="12.75">
      <c r="A188" s="164">
        <v>40297</v>
      </c>
      <c r="B188" s="236">
        <v>59</v>
      </c>
      <c r="C188" s="236">
        <v>35</v>
      </c>
      <c r="D188" s="126" t="s">
        <v>421</v>
      </c>
      <c r="E188" s="171">
        <v>2415</v>
      </c>
      <c r="F188" s="238"/>
      <c r="G188" s="238"/>
      <c r="H188" s="237" t="s">
        <v>15</v>
      </c>
      <c r="J188" s="239"/>
      <c r="K188" s="238"/>
    </row>
    <row r="189" spans="1:11" s="237" customFormat="1" ht="12.75">
      <c r="A189" s="164">
        <v>40297</v>
      </c>
      <c r="B189" s="236">
        <v>60</v>
      </c>
      <c r="C189" s="236">
        <v>35</v>
      </c>
      <c r="D189" s="126" t="s">
        <v>422</v>
      </c>
      <c r="E189" s="171">
        <v>4162.5</v>
      </c>
      <c r="F189" s="238"/>
      <c r="G189" s="238"/>
      <c r="H189" s="237" t="s">
        <v>15</v>
      </c>
      <c r="J189" s="239"/>
      <c r="K189" s="238"/>
    </row>
    <row r="190" spans="1:11" s="237" customFormat="1" ht="12.75">
      <c r="A190" s="164">
        <v>40297</v>
      </c>
      <c r="B190" s="236">
        <v>61</v>
      </c>
      <c r="C190" s="236">
        <v>35</v>
      </c>
      <c r="D190" s="126" t="s">
        <v>423</v>
      </c>
      <c r="E190" s="171">
        <v>395</v>
      </c>
      <c r="F190" s="238"/>
      <c r="G190" s="238"/>
      <c r="H190" s="237" t="s">
        <v>15</v>
      </c>
      <c r="J190" s="239"/>
      <c r="K190" s="238"/>
    </row>
    <row r="191" spans="1:11" s="126" customFormat="1" ht="12.75">
      <c r="A191" s="184">
        <v>40301</v>
      </c>
      <c r="B191" s="185">
        <v>68</v>
      </c>
      <c r="C191" s="185">
        <v>35</v>
      </c>
      <c r="D191" s="126" t="s">
        <v>428</v>
      </c>
      <c r="E191" s="171">
        <v>4345</v>
      </c>
      <c r="F191" s="171"/>
      <c r="G191" s="171"/>
      <c r="H191" s="126" t="s">
        <v>15</v>
      </c>
      <c r="J191" s="240"/>
      <c r="K191" s="171"/>
    </row>
    <row r="192" spans="1:11" s="126" customFormat="1" ht="12.75">
      <c r="A192" s="184">
        <v>40301</v>
      </c>
      <c r="B192" s="185">
        <v>69</v>
      </c>
      <c r="C192" s="185">
        <v>35</v>
      </c>
      <c r="D192" s="126" t="s">
        <v>422</v>
      </c>
      <c r="E192" s="171">
        <v>1775</v>
      </c>
      <c r="F192" s="171"/>
      <c r="G192" s="171"/>
      <c r="H192" s="126" t="s">
        <v>15</v>
      </c>
      <c r="J192" s="240"/>
      <c r="K192" s="171"/>
    </row>
    <row r="193" spans="1:12" s="126" customFormat="1" ht="12.75">
      <c r="A193" s="184">
        <v>40303</v>
      </c>
      <c r="B193" s="185">
        <v>72</v>
      </c>
      <c r="C193" s="185">
        <v>35</v>
      </c>
      <c r="D193" s="126" t="s">
        <v>429</v>
      </c>
      <c r="E193" s="171">
        <v>626</v>
      </c>
      <c r="F193" s="171"/>
      <c r="G193" s="171"/>
      <c r="H193" s="243"/>
      <c r="I193" s="149"/>
      <c r="J193" s="201"/>
      <c r="K193" s="170"/>
      <c r="L193" s="149"/>
    </row>
    <row r="194" spans="1:11" s="126" customFormat="1" ht="12.75">
      <c r="A194" s="184">
        <v>40303</v>
      </c>
      <c r="B194" s="185">
        <v>73</v>
      </c>
      <c r="C194" s="185">
        <v>35</v>
      </c>
      <c r="D194" s="126" t="s">
        <v>430</v>
      </c>
      <c r="E194" s="171">
        <v>395</v>
      </c>
      <c r="F194" s="171"/>
      <c r="G194" s="171"/>
      <c r="J194" s="240"/>
      <c r="K194" s="171"/>
    </row>
    <row r="195" spans="1:11" s="126" customFormat="1" ht="12.75">
      <c r="A195" s="184">
        <v>40304</v>
      </c>
      <c r="B195" s="185">
        <v>74</v>
      </c>
      <c r="C195" s="185">
        <v>35</v>
      </c>
      <c r="D195" s="126" t="s">
        <v>432</v>
      </c>
      <c r="E195" s="171">
        <v>400</v>
      </c>
      <c r="F195" s="171"/>
      <c r="G195" s="171"/>
      <c r="H195" s="235"/>
      <c r="I195" s="244"/>
      <c r="J195" s="245"/>
      <c r="K195" s="242"/>
    </row>
    <row r="196" spans="1:11" s="126" customFormat="1" ht="12.75">
      <c r="A196" s="184">
        <v>40304</v>
      </c>
      <c r="B196" s="185">
        <v>75</v>
      </c>
      <c r="C196" s="185">
        <v>35</v>
      </c>
      <c r="D196" s="126" t="s">
        <v>431</v>
      </c>
      <c r="E196" s="171">
        <v>6077.5</v>
      </c>
      <c r="F196" s="171"/>
      <c r="G196" s="171"/>
      <c r="J196" s="240"/>
      <c r="K196" s="171"/>
    </row>
    <row r="197" spans="1:11" s="126" customFormat="1" ht="12.75">
      <c r="A197" s="184">
        <v>40305</v>
      </c>
      <c r="B197" s="185">
        <v>78</v>
      </c>
      <c r="C197" s="185">
        <v>35</v>
      </c>
      <c r="D197" s="126" t="s">
        <v>433</v>
      </c>
      <c r="E197" s="171">
        <v>1582.5</v>
      </c>
      <c r="F197" s="171"/>
      <c r="G197" s="171"/>
      <c r="H197" s="235"/>
      <c r="I197" s="244"/>
      <c r="J197" s="245"/>
      <c r="K197" s="242"/>
    </row>
    <row r="198" spans="1:11" s="126" customFormat="1" ht="12.75">
      <c r="A198" s="184">
        <v>40308</v>
      </c>
      <c r="B198" s="185">
        <v>79</v>
      </c>
      <c r="C198" s="185">
        <v>35</v>
      </c>
      <c r="D198" s="126" t="s">
        <v>434</v>
      </c>
      <c r="E198" s="171">
        <v>790</v>
      </c>
      <c r="F198" s="171"/>
      <c r="G198" s="171"/>
      <c r="H198" s="243"/>
      <c r="I198" s="149"/>
      <c r="J198" s="201"/>
      <c r="K198" s="170"/>
    </row>
    <row r="199" spans="1:11" s="126" customFormat="1" ht="12.75">
      <c r="A199" s="184">
        <v>40308</v>
      </c>
      <c r="B199" s="185">
        <v>80</v>
      </c>
      <c r="C199" s="185">
        <v>35</v>
      </c>
      <c r="D199" s="126" t="s">
        <v>435</v>
      </c>
      <c r="E199" s="171">
        <v>782.5</v>
      </c>
      <c r="F199" s="171"/>
      <c r="G199" s="171"/>
      <c r="J199" s="240"/>
      <c r="K199" s="171"/>
    </row>
    <row r="200" spans="1:11" s="126" customFormat="1" ht="12.75">
      <c r="A200" s="184">
        <v>40312</v>
      </c>
      <c r="B200" s="185">
        <v>87</v>
      </c>
      <c r="C200" s="185">
        <v>35</v>
      </c>
      <c r="D200" s="126" t="s">
        <v>448</v>
      </c>
      <c r="E200" s="171">
        <v>1207.5</v>
      </c>
      <c r="F200" s="171"/>
      <c r="G200" s="171"/>
      <c r="J200" s="240"/>
      <c r="K200" s="171"/>
    </row>
    <row r="201" spans="1:11" s="126" customFormat="1" ht="12.75">
      <c r="A201" s="164">
        <v>40316</v>
      </c>
      <c r="B201" s="185">
        <v>90</v>
      </c>
      <c r="C201" s="185">
        <v>35</v>
      </c>
      <c r="D201" s="126" t="s">
        <v>450</v>
      </c>
      <c r="E201" s="171">
        <f>1375+389.5</f>
        <v>1764.5</v>
      </c>
      <c r="F201" s="171"/>
      <c r="G201" s="171"/>
      <c r="H201" s="243"/>
      <c r="I201" s="149"/>
      <c r="J201" s="201"/>
      <c r="K201" s="170"/>
    </row>
    <row r="202" spans="1:13" s="126" customFormat="1" ht="12.75">
      <c r="A202" s="164">
        <v>40316</v>
      </c>
      <c r="B202" s="185">
        <v>90</v>
      </c>
      <c r="C202" s="185">
        <v>35</v>
      </c>
      <c r="D202" s="126" t="s">
        <v>451</v>
      </c>
      <c r="E202" s="171">
        <v>2165</v>
      </c>
      <c r="F202" s="171"/>
      <c r="G202" s="171"/>
      <c r="J202" s="240"/>
      <c r="K202" s="171"/>
      <c r="M202" s="251"/>
    </row>
    <row r="203" spans="1:11" s="126" customFormat="1" ht="12.75">
      <c r="A203" s="164">
        <v>40318</v>
      </c>
      <c r="B203" s="185">
        <v>94</v>
      </c>
      <c r="C203" s="185">
        <v>35</v>
      </c>
      <c r="D203" s="126" t="s">
        <v>454</v>
      </c>
      <c r="E203" s="171">
        <v>6835</v>
      </c>
      <c r="F203" s="171"/>
      <c r="G203" s="171"/>
      <c r="J203" s="240"/>
      <c r="K203" s="171"/>
    </row>
    <row r="204" spans="1:11" s="126" customFormat="1" ht="12.75">
      <c r="A204" s="164">
        <v>40319</v>
      </c>
      <c r="B204" s="185">
        <v>95</v>
      </c>
      <c r="C204" s="185">
        <v>35</v>
      </c>
      <c r="D204" s="126" t="s">
        <v>455</v>
      </c>
      <c r="E204" s="171">
        <v>7162.5</v>
      </c>
      <c r="F204" s="171"/>
      <c r="G204" s="171"/>
      <c r="J204" s="240"/>
      <c r="K204" s="171"/>
    </row>
    <row r="205" spans="1:11" s="126" customFormat="1" ht="12.75">
      <c r="A205" s="164">
        <v>40319</v>
      </c>
      <c r="B205" s="185">
        <v>96</v>
      </c>
      <c r="C205" s="185">
        <v>35</v>
      </c>
      <c r="D205" s="126" t="s">
        <v>456</v>
      </c>
      <c r="E205" s="171">
        <v>1770</v>
      </c>
      <c r="F205" s="171"/>
      <c r="G205" s="171"/>
      <c r="J205" s="240"/>
      <c r="K205" s="171"/>
    </row>
    <row r="206" spans="1:11" s="126" customFormat="1" ht="12.75">
      <c r="A206" s="184">
        <v>40323</v>
      </c>
      <c r="B206" s="185">
        <v>104</v>
      </c>
      <c r="C206" s="185">
        <v>35</v>
      </c>
      <c r="D206" s="126" t="s">
        <v>491</v>
      </c>
      <c r="E206" s="171">
        <v>3138</v>
      </c>
      <c r="F206" s="171"/>
      <c r="G206" s="171"/>
      <c r="J206" s="240"/>
      <c r="K206" s="171"/>
    </row>
    <row r="207" spans="1:11" s="126" customFormat="1" ht="12.75">
      <c r="A207" s="184">
        <v>40331</v>
      </c>
      <c r="B207" s="185">
        <v>122</v>
      </c>
      <c r="C207" s="185">
        <v>35</v>
      </c>
      <c r="D207" s="126" t="s">
        <v>511</v>
      </c>
      <c r="E207" s="171">
        <v>1025</v>
      </c>
      <c r="F207" s="171"/>
      <c r="G207" s="171"/>
      <c r="J207" s="240"/>
      <c r="K207" s="171"/>
    </row>
    <row r="208" spans="1:11" s="126" customFormat="1" ht="12.75">
      <c r="A208" s="184">
        <v>40331</v>
      </c>
      <c r="B208" s="185">
        <v>123</v>
      </c>
      <c r="C208" s="185">
        <v>35</v>
      </c>
      <c r="D208" s="126" t="s">
        <v>513</v>
      </c>
      <c r="E208" s="171">
        <v>5710</v>
      </c>
      <c r="F208" s="171"/>
      <c r="G208" s="171"/>
      <c r="J208" s="240"/>
      <c r="K208" s="171"/>
    </row>
    <row r="209" spans="1:11" s="126" customFormat="1" ht="12.75">
      <c r="A209" s="184">
        <v>40337</v>
      </c>
      <c r="B209" s="185">
        <v>129</v>
      </c>
      <c r="C209" s="185">
        <v>35</v>
      </c>
      <c r="D209" s="126" t="s">
        <v>525</v>
      </c>
      <c r="E209" s="171">
        <v>2575</v>
      </c>
      <c r="F209" s="171"/>
      <c r="G209" s="171"/>
      <c r="J209" s="240"/>
      <c r="K209" s="171"/>
    </row>
    <row r="210" spans="1:11" s="126" customFormat="1" ht="12.75">
      <c r="A210" s="184">
        <v>40403</v>
      </c>
      <c r="B210" s="185">
        <v>209</v>
      </c>
      <c r="C210" s="185">
        <v>35</v>
      </c>
      <c r="D210" s="126" t="s">
        <v>704</v>
      </c>
      <c r="E210" s="171">
        <v>237.5</v>
      </c>
      <c r="F210" s="171"/>
      <c r="G210" s="171"/>
      <c r="J210" s="240"/>
      <c r="K210" s="171"/>
    </row>
    <row r="211" spans="1:11" s="126" customFormat="1" ht="12.75">
      <c r="A211" s="184">
        <v>40406</v>
      </c>
      <c r="B211" s="185">
        <v>214</v>
      </c>
      <c r="C211" s="185">
        <v>35</v>
      </c>
      <c r="D211" s="126" t="s">
        <v>711</v>
      </c>
      <c r="E211" s="171">
        <v>237.5</v>
      </c>
      <c r="F211" s="171"/>
      <c r="G211" s="171"/>
      <c r="J211" s="240"/>
      <c r="K211" s="171"/>
    </row>
    <row r="212" spans="1:11" s="126" customFormat="1" ht="12.75">
      <c r="A212" s="184">
        <v>40406</v>
      </c>
      <c r="B212" s="185">
        <v>215</v>
      </c>
      <c r="C212" s="185">
        <v>35</v>
      </c>
      <c r="D212" s="126" t="s">
        <v>712</v>
      </c>
      <c r="E212" s="171">
        <v>475</v>
      </c>
      <c r="F212" s="171"/>
      <c r="G212" s="171"/>
      <c r="J212" s="240"/>
      <c r="K212" s="171"/>
    </row>
    <row r="213" spans="1:11" s="126" customFormat="1" ht="12.75">
      <c r="A213" s="184">
        <v>40408</v>
      </c>
      <c r="B213" s="185">
        <v>219</v>
      </c>
      <c r="C213" s="185">
        <v>35</v>
      </c>
      <c r="D213" s="126" t="s">
        <v>719</v>
      </c>
      <c r="E213" s="171">
        <v>1082.5</v>
      </c>
      <c r="F213" s="171"/>
      <c r="G213" s="171"/>
      <c r="J213" s="240"/>
      <c r="K213" s="171"/>
    </row>
    <row r="214" spans="1:11" s="126" customFormat="1" ht="12.75">
      <c r="A214" s="184">
        <v>40409</v>
      </c>
      <c r="B214" s="185">
        <v>224</v>
      </c>
      <c r="C214" s="185">
        <v>35</v>
      </c>
      <c r="D214" s="126" t="s">
        <v>723</v>
      </c>
      <c r="E214" s="171">
        <v>800</v>
      </c>
      <c r="F214" s="171"/>
      <c r="G214" s="171"/>
      <c r="J214" s="240"/>
      <c r="K214" s="171"/>
    </row>
    <row r="215" spans="1:11" s="126" customFormat="1" ht="12.75">
      <c r="A215" s="184">
        <v>40410</v>
      </c>
      <c r="B215" s="185">
        <v>227</v>
      </c>
      <c r="C215" s="185">
        <v>35</v>
      </c>
      <c r="D215" s="126" t="s">
        <v>716</v>
      </c>
      <c r="E215" s="171">
        <v>237.5</v>
      </c>
      <c r="F215" s="171"/>
      <c r="G215" s="171"/>
      <c r="J215" s="240"/>
      <c r="K215" s="171"/>
    </row>
    <row r="216" spans="1:11" s="126" customFormat="1" ht="12.75">
      <c r="A216" s="184">
        <v>40410</v>
      </c>
      <c r="B216" s="185">
        <v>232</v>
      </c>
      <c r="C216" s="185">
        <v>35</v>
      </c>
      <c r="D216" s="126" t="s">
        <v>733</v>
      </c>
      <c r="E216" s="171">
        <v>1612.5</v>
      </c>
      <c r="F216" s="171"/>
      <c r="G216" s="171"/>
      <c r="J216" s="240"/>
      <c r="K216" s="171"/>
    </row>
    <row r="217" spans="1:11" s="126" customFormat="1" ht="12.75">
      <c r="A217" s="164">
        <v>40413</v>
      </c>
      <c r="B217" s="185">
        <v>236</v>
      </c>
      <c r="C217" s="185">
        <v>35</v>
      </c>
      <c r="D217" s="126" t="s">
        <v>744</v>
      </c>
      <c r="E217" s="171">
        <v>700</v>
      </c>
      <c r="F217" s="171"/>
      <c r="G217" s="171"/>
      <c r="J217" s="240"/>
      <c r="K217" s="171"/>
    </row>
    <row r="218" spans="1:11" s="126" customFormat="1" ht="12.75">
      <c r="A218" s="164">
        <v>40413</v>
      </c>
      <c r="B218" s="185">
        <v>237</v>
      </c>
      <c r="C218" s="185">
        <v>35</v>
      </c>
      <c r="D218" s="126" t="s">
        <v>759</v>
      </c>
      <c r="E218" s="171">
        <v>1600</v>
      </c>
      <c r="F218" s="171"/>
      <c r="G218" s="171"/>
      <c r="J218" s="240"/>
      <c r="K218" s="171"/>
    </row>
    <row r="219" spans="1:11" s="126" customFormat="1" ht="12.75">
      <c r="A219" s="184">
        <v>40413</v>
      </c>
      <c r="B219" s="185">
        <v>238</v>
      </c>
      <c r="C219" s="185">
        <v>35</v>
      </c>
      <c r="D219" s="126" t="s">
        <v>713</v>
      </c>
      <c r="E219" s="171">
        <v>237.5</v>
      </c>
      <c r="F219" s="171"/>
      <c r="G219" s="171"/>
      <c r="J219" s="240"/>
      <c r="K219" s="171"/>
    </row>
    <row r="220" spans="1:11" s="126" customFormat="1" ht="12.75">
      <c r="A220" s="184">
        <v>40415</v>
      </c>
      <c r="B220" s="185">
        <v>243</v>
      </c>
      <c r="C220" s="185">
        <v>35</v>
      </c>
      <c r="D220" s="126" t="s">
        <v>717</v>
      </c>
      <c r="E220" s="171">
        <v>237.5</v>
      </c>
      <c r="F220" s="171"/>
      <c r="G220" s="171"/>
      <c r="J220" s="240"/>
      <c r="K220" s="171"/>
    </row>
    <row r="221" spans="1:11" s="126" customFormat="1" ht="12.75">
      <c r="A221" s="164">
        <v>40415</v>
      </c>
      <c r="B221" s="185">
        <v>244</v>
      </c>
      <c r="C221" s="185">
        <v>35</v>
      </c>
      <c r="D221" s="126" t="s">
        <v>755</v>
      </c>
      <c r="E221" s="171">
        <v>1918.5</v>
      </c>
      <c r="F221" s="171"/>
      <c r="G221" s="171"/>
      <c r="J221" s="240"/>
      <c r="K221" s="171"/>
    </row>
    <row r="222" spans="1:11" s="126" customFormat="1" ht="12.75">
      <c r="A222" s="164">
        <v>40415</v>
      </c>
      <c r="B222" s="185">
        <v>245</v>
      </c>
      <c r="C222" s="185">
        <v>35</v>
      </c>
      <c r="D222" s="126" t="s">
        <v>756</v>
      </c>
      <c r="E222" s="171">
        <v>5543.5</v>
      </c>
      <c r="F222" s="171"/>
      <c r="G222" s="171"/>
      <c r="J222" s="240"/>
      <c r="K222" s="171"/>
    </row>
    <row r="223" spans="1:11" s="126" customFormat="1" ht="12.75">
      <c r="A223" s="164">
        <v>40415</v>
      </c>
      <c r="B223" s="185">
        <v>246</v>
      </c>
      <c r="C223" s="185">
        <v>35</v>
      </c>
      <c r="D223" s="126" t="s">
        <v>757</v>
      </c>
      <c r="E223" s="171">
        <v>4306</v>
      </c>
      <c r="F223" s="171"/>
      <c r="G223" s="171"/>
      <c r="J223" s="240"/>
      <c r="K223" s="171"/>
    </row>
    <row r="224" spans="1:11" s="126" customFormat="1" ht="12.75">
      <c r="A224" s="184">
        <v>40416</v>
      </c>
      <c r="B224" s="185">
        <v>248</v>
      </c>
      <c r="C224" s="185">
        <v>35</v>
      </c>
      <c r="D224" s="126" t="s">
        <v>715</v>
      </c>
      <c r="E224" s="171">
        <v>475</v>
      </c>
      <c r="F224" s="171"/>
      <c r="G224" s="171"/>
      <c r="J224" s="240"/>
      <c r="K224" s="171"/>
    </row>
    <row r="225" spans="1:11" s="126" customFormat="1" ht="12.75">
      <c r="A225" s="164">
        <v>40420</v>
      </c>
      <c r="B225" s="185">
        <v>251</v>
      </c>
      <c r="C225" s="185">
        <v>35</v>
      </c>
      <c r="D225" s="126" t="s">
        <v>762</v>
      </c>
      <c r="E225" s="171">
        <v>156.5</v>
      </c>
      <c r="F225" s="171"/>
      <c r="G225" s="171"/>
      <c r="J225" s="240"/>
      <c r="K225" s="171"/>
    </row>
    <row r="226" spans="1:11" s="126" customFormat="1" ht="12.75">
      <c r="A226" s="164">
        <v>40421</v>
      </c>
      <c r="B226" s="185">
        <v>256</v>
      </c>
      <c r="C226" s="185">
        <v>35</v>
      </c>
      <c r="D226" s="126" t="s">
        <v>768</v>
      </c>
      <c r="E226" s="171">
        <v>387.5</v>
      </c>
      <c r="F226" s="171"/>
      <c r="G226" s="171"/>
      <c r="J226" s="240"/>
      <c r="K226" s="171"/>
    </row>
    <row r="227" spans="1:11" s="126" customFormat="1" ht="12.75">
      <c r="A227" s="164">
        <v>40422</v>
      </c>
      <c r="B227" s="185">
        <v>259</v>
      </c>
      <c r="C227" s="185">
        <v>35</v>
      </c>
      <c r="D227" s="126" t="s">
        <v>430</v>
      </c>
      <c r="E227" s="171">
        <v>395</v>
      </c>
      <c r="F227" s="171"/>
      <c r="G227" s="171"/>
      <c r="J227" s="240"/>
      <c r="K227" s="171"/>
    </row>
    <row r="228" spans="1:11" s="126" customFormat="1" ht="12.75">
      <c r="A228" s="164">
        <v>40422</v>
      </c>
      <c r="B228" s="185">
        <v>260</v>
      </c>
      <c r="C228" s="185">
        <v>35</v>
      </c>
      <c r="D228" s="126" t="s">
        <v>765</v>
      </c>
      <c r="E228" s="171">
        <v>2212.5</v>
      </c>
      <c r="F228" s="171"/>
      <c r="G228" s="171"/>
      <c r="J228" s="240"/>
      <c r="K228" s="171"/>
    </row>
    <row r="229" spans="1:11" s="126" customFormat="1" ht="12.75">
      <c r="A229" s="184">
        <v>40423</v>
      </c>
      <c r="B229" s="185">
        <v>262</v>
      </c>
      <c r="C229" s="185">
        <v>35</v>
      </c>
      <c r="D229" s="126" t="s">
        <v>714</v>
      </c>
      <c r="E229" s="171">
        <v>237.5</v>
      </c>
      <c r="F229" s="171"/>
      <c r="G229" s="171"/>
      <c r="J229" s="240"/>
      <c r="K229" s="171"/>
    </row>
    <row r="230" spans="1:11" s="126" customFormat="1" ht="12.75">
      <c r="A230" s="164">
        <v>40424</v>
      </c>
      <c r="B230" s="185">
        <v>263</v>
      </c>
      <c r="C230" s="185">
        <v>35</v>
      </c>
      <c r="D230" s="126" t="s">
        <v>773</v>
      </c>
      <c r="E230" s="171">
        <v>200</v>
      </c>
      <c r="F230" s="171"/>
      <c r="G230" s="171"/>
      <c r="J230" s="240"/>
      <c r="K230" s="171"/>
    </row>
    <row r="231" spans="1:11" s="126" customFormat="1" ht="12.75">
      <c r="A231" s="164">
        <v>40424</v>
      </c>
      <c r="B231" s="185">
        <v>264</v>
      </c>
      <c r="C231" s="185">
        <v>35</v>
      </c>
      <c r="D231" s="126" t="s">
        <v>776</v>
      </c>
      <c r="E231" s="171">
        <v>200</v>
      </c>
      <c r="F231" s="171"/>
      <c r="G231" s="171"/>
      <c r="J231" s="240"/>
      <c r="K231" s="171"/>
    </row>
    <row r="232" spans="1:11" s="126" customFormat="1" ht="12.75">
      <c r="A232" s="164">
        <v>40424</v>
      </c>
      <c r="B232" s="185">
        <v>265</v>
      </c>
      <c r="C232" s="185">
        <v>35</v>
      </c>
      <c r="D232" s="126" t="s">
        <v>777</v>
      </c>
      <c r="E232" s="171">
        <v>600</v>
      </c>
      <c r="F232" s="171"/>
      <c r="G232" s="171"/>
      <c r="J232" s="240"/>
      <c r="K232" s="171"/>
    </row>
    <row r="233" spans="1:11" s="126" customFormat="1" ht="12.75">
      <c r="A233" s="164">
        <v>40427</v>
      </c>
      <c r="B233" s="185">
        <v>267</v>
      </c>
      <c r="C233" s="185">
        <v>35</v>
      </c>
      <c r="D233" s="126" t="s">
        <v>782</v>
      </c>
      <c r="E233" s="171">
        <v>200</v>
      </c>
      <c r="F233" s="171"/>
      <c r="G233" s="171"/>
      <c r="J233" s="240"/>
      <c r="K233" s="171"/>
    </row>
    <row r="234" spans="1:11" s="126" customFormat="1" ht="12.75">
      <c r="A234" s="164">
        <v>40427</v>
      </c>
      <c r="B234" s="185">
        <v>268</v>
      </c>
      <c r="C234" s="185">
        <v>35</v>
      </c>
      <c r="D234" s="126" t="s">
        <v>770</v>
      </c>
      <c r="E234" s="171">
        <v>400</v>
      </c>
      <c r="F234" s="171"/>
      <c r="G234" s="171"/>
      <c r="J234" s="240"/>
      <c r="K234" s="171"/>
    </row>
    <row r="235" spans="1:11" s="126" customFormat="1" ht="12.75">
      <c r="A235" s="164">
        <v>40427</v>
      </c>
      <c r="B235" s="185">
        <v>269</v>
      </c>
      <c r="C235" s="185">
        <v>35</v>
      </c>
      <c r="D235" s="126" t="s">
        <v>785</v>
      </c>
      <c r="E235" s="171">
        <v>200</v>
      </c>
      <c r="F235" s="171"/>
      <c r="G235" s="171"/>
      <c r="J235" s="240"/>
      <c r="K235" s="171"/>
    </row>
    <row r="236" spans="1:11" s="126" customFormat="1" ht="12.75">
      <c r="A236" s="164">
        <v>40428</v>
      </c>
      <c r="B236" s="185">
        <v>271</v>
      </c>
      <c r="C236" s="185">
        <v>35</v>
      </c>
      <c r="D236" s="126" t="s">
        <v>783</v>
      </c>
      <c r="E236" s="171">
        <v>200</v>
      </c>
      <c r="F236" s="171"/>
      <c r="G236" s="171"/>
      <c r="J236" s="240"/>
      <c r="K236" s="171"/>
    </row>
    <row r="237" spans="1:11" s="126" customFormat="1" ht="12.75">
      <c r="A237" s="164">
        <v>40430</v>
      </c>
      <c r="B237" s="185">
        <v>274</v>
      </c>
      <c r="C237" s="185">
        <v>35</v>
      </c>
      <c r="D237" s="126" t="s">
        <v>764</v>
      </c>
      <c r="E237" s="171">
        <v>1387.5</v>
      </c>
      <c r="F237" s="171"/>
      <c r="G237" s="171"/>
      <c r="J237" s="240"/>
      <c r="K237" s="171"/>
    </row>
    <row r="238" spans="1:11" s="126" customFormat="1" ht="12.75">
      <c r="A238" s="184">
        <v>40431</v>
      </c>
      <c r="B238" s="185">
        <v>275</v>
      </c>
      <c r="C238" s="185">
        <v>35</v>
      </c>
      <c r="D238" s="126" t="s">
        <v>779</v>
      </c>
      <c r="E238" s="171">
        <v>400</v>
      </c>
      <c r="F238" s="171"/>
      <c r="G238" s="171"/>
      <c r="J238" s="240"/>
      <c r="K238" s="171"/>
    </row>
    <row r="239" spans="1:11" s="126" customFormat="1" ht="12.75">
      <c r="A239" s="164">
        <v>40431</v>
      </c>
      <c r="B239" s="185">
        <v>276</v>
      </c>
      <c r="C239" s="185">
        <v>35</v>
      </c>
      <c r="D239" s="126" t="s">
        <v>769</v>
      </c>
      <c r="E239" s="171">
        <v>1375</v>
      </c>
      <c r="F239" s="171"/>
      <c r="G239" s="171"/>
      <c r="J239" s="240"/>
      <c r="K239" s="171"/>
    </row>
    <row r="240" spans="1:11" s="126" customFormat="1" ht="12.75">
      <c r="A240" s="164">
        <v>40434</v>
      </c>
      <c r="B240" s="185">
        <v>277</v>
      </c>
      <c r="C240" s="185">
        <v>35</v>
      </c>
      <c r="D240" s="126" t="s">
        <v>766</v>
      </c>
      <c r="E240" s="171">
        <v>2328</v>
      </c>
      <c r="F240" s="171"/>
      <c r="G240" s="171"/>
      <c r="J240" s="240"/>
      <c r="K240" s="171"/>
    </row>
    <row r="241" spans="1:11" s="126" customFormat="1" ht="12.75">
      <c r="A241" s="164">
        <v>40435</v>
      </c>
      <c r="B241" s="185">
        <v>282</v>
      </c>
      <c r="C241" s="185">
        <v>35</v>
      </c>
      <c r="D241" s="126" t="s">
        <v>775</v>
      </c>
      <c r="E241" s="171">
        <v>600</v>
      </c>
      <c r="F241" s="171"/>
      <c r="G241" s="171"/>
      <c r="J241" s="240"/>
      <c r="K241" s="171"/>
    </row>
    <row r="242" spans="1:11" s="126" customFormat="1" ht="12.75">
      <c r="A242" s="164">
        <v>40437</v>
      </c>
      <c r="B242" s="185">
        <v>290</v>
      </c>
      <c r="C242" s="185">
        <v>35</v>
      </c>
      <c r="D242" s="126" t="s">
        <v>781</v>
      </c>
      <c r="E242" s="171">
        <v>200</v>
      </c>
      <c r="F242" s="171"/>
      <c r="G242" s="171"/>
      <c r="J242" s="240"/>
      <c r="K242" s="171"/>
    </row>
    <row r="243" spans="1:11" s="126" customFormat="1" ht="12.75">
      <c r="A243" s="164">
        <v>40438</v>
      </c>
      <c r="B243" s="185">
        <v>293</v>
      </c>
      <c r="C243" s="185">
        <v>35</v>
      </c>
      <c r="D243" s="126" t="s">
        <v>767</v>
      </c>
      <c r="E243" s="171">
        <v>1625</v>
      </c>
      <c r="F243" s="171"/>
      <c r="G243" s="171"/>
      <c r="J243" s="240"/>
      <c r="K243" s="171"/>
    </row>
    <row r="244" spans="1:11" s="126" customFormat="1" ht="12.75">
      <c r="A244" s="164">
        <v>40443</v>
      </c>
      <c r="B244" s="185">
        <v>301</v>
      </c>
      <c r="C244" s="185">
        <v>35</v>
      </c>
      <c r="D244" s="126" t="s">
        <v>780</v>
      </c>
      <c r="E244" s="171">
        <v>200</v>
      </c>
      <c r="F244" s="171"/>
      <c r="G244" s="171"/>
      <c r="J244" s="240"/>
      <c r="K244" s="171"/>
    </row>
    <row r="245" spans="1:11" s="126" customFormat="1" ht="12.75">
      <c r="A245" s="164">
        <v>40445</v>
      </c>
      <c r="B245" s="185">
        <v>308</v>
      </c>
      <c r="C245" s="185">
        <v>35</v>
      </c>
      <c r="D245" s="126" t="s">
        <v>763</v>
      </c>
      <c r="E245" s="171">
        <v>1087.5</v>
      </c>
      <c r="F245" s="171"/>
      <c r="G245" s="171"/>
      <c r="J245" s="240"/>
      <c r="K245" s="171"/>
    </row>
    <row r="246" spans="1:11" s="126" customFormat="1" ht="12.75">
      <c r="A246" s="184">
        <v>40448</v>
      </c>
      <c r="B246" s="185">
        <v>311</v>
      </c>
      <c r="C246" s="185">
        <v>35</v>
      </c>
      <c r="D246" s="126" t="s">
        <v>844</v>
      </c>
      <c r="E246" s="171">
        <v>600</v>
      </c>
      <c r="F246" s="171"/>
      <c r="G246" s="171"/>
      <c r="J246" s="240"/>
      <c r="K246" s="171"/>
    </row>
    <row r="247" spans="1:11" s="126" customFormat="1" ht="12.75">
      <c r="A247" s="164">
        <v>40444</v>
      </c>
      <c r="B247" s="185">
        <v>307</v>
      </c>
      <c r="C247" s="185">
        <v>35</v>
      </c>
      <c r="D247" s="126" t="s">
        <v>778</v>
      </c>
      <c r="E247" s="171">
        <v>400</v>
      </c>
      <c r="F247" s="171"/>
      <c r="G247" s="171"/>
      <c r="J247" s="240"/>
      <c r="K247" s="171"/>
    </row>
    <row r="248" spans="1:11" s="126" customFormat="1" ht="12.75">
      <c r="A248" s="184">
        <v>40450</v>
      </c>
      <c r="B248" s="185">
        <v>314</v>
      </c>
      <c r="C248" s="185">
        <v>35</v>
      </c>
      <c r="D248" s="126" t="s">
        <v>784</v>
      </c>
      <c r="E248" s="171">
        <v>400</v>
      </c>
      <c r="F248" s="171"/>
      <c r="G248" s="171"/>
      <c r="J248" s="240"/>
      <c r="K248" s="171"/>
    </row>
    <row r="249" spans="1:11" s="126" customFormat="1" ht="12.75">
      <c r="A249" s="184">
        <v>40450</v>
      </c>
      <c r="B249" s="185">
        <v>315</v>
      </c>
      <c r="C249" s="185">
        <v>35</v>
      </c>
      <c r="D249" s="126" t="s">
        <v>772</v>
      </c>
      <c r="E249" s="171">
        <v>200</v>
      </c>
      <c r="F249" s="171"/>
      <c r="G249" s="171"/>
      <c r="J249" s="240"/>
      <c r="K249" s="171"/>
    </row>
    <row r="250" spans="1:11" s="126" customFormat="1" ht="12.75">
      <c r="A250" s="164">
        <v>40455</v>
      </c>
      <c r="B250" s="185">
        <v>319</v>
      </c>
      <c r="C250" s="185">
        <v>35</v>
      </c>
      <c r="D250" s="126" t="s">
        <v>771</v>
      </c>
      <c r="E250" s="171">
        <v>600</v>
      </c>
      <c r="F250" s="171"/>
      <c r="G250" s="171"/>
      <c r="J250" s="240"/>
      <c r="K250" s="171"/>
    </row>
    <row r="251" spans="1:11" s="126" customFormat="1" ht="12.75">
      <c r="A251" s="164">
        <v>40476</v>
      </c>
      <c r="B251" s="185">
        <v>344</v>
      </c>
      <c r="C251" s="185">
        <v>35</v>
      </c>
      <c r="D251" s="126" t="s">
        <v>937</v>
      </c>
      <c r="E251" s="171">
        <v>400</v>
      </c>
      <c r="F251" s="171"/>
      <c r="G251" s="171"/>
      <c r="J251" s="240"/>
      <c r="K251" s="171"/>
    </row>
    <row r="252" spans="1:11" s="126" customFormat="1" ht="12.75">
      <c r="A252" s="164">
        <v>40477</v>
      </c>
      <c r="B252" s="185">
        <v>348</v>
      </c>
      <c r="C252" s="185">
        <v>35</v>
      </c>
      <c r="D252" s="126" t="s">
        <v>774</v>
      </c>
      <c r="E252" s="171">
        <v>400</v>
      </c>
      <c r="F252" s="171"/>
      <c r="G252" s="171"/>
      <c r="J252" s="240"/>
      <c r="K252" s="171"/>
    </row>
    <row r="253" spans="1:11" s="126" customFormat="1" ht="12.75">
      <c r="A253" s="164">
        <v>40478</v>
      </c>
      <c r="B253" s="185">
        <v>353</v>
      </c>
      <c r="C253" s="185">
        <v>35</v>
      </c>
      <c r="D253" s="126" t="s">
        <v>940</v>
      </c>
      <c r="E253" s="171">
        <v>1200</v>
      </c>
      <c r="F253" s="171"/>
      <c r="G253" s="171"/>
      <c r="J253" s="240"/>
      <c r="K253" s="171"/>
    </row>
    <row r="254" spans="1:11" s="126" customFormat="1" ht="12.75">
      <c r="A254" s="164">
        <v>40480</v>
      </c>
      <c r="B254" s="185">
        <v>355</v>
      </c>
      <c r="C254" s="185">
        <v>35</v>
      </c>
      <c r="D254" s="126" t="s">
        <v>942</v>
      </c>
      <c r="E254" s="171">
        <v>3200</v>
      </c>
      <c r="F254" s="171"/>
      <c r="G254" s="171"/>
      <c r="J254" s="240"/>
      <c r="K254" s="171"/>
    </row>
    <row r="255" spans="1:11" s="126" customFormat="1" ht="12.75">
      <c r="A255" s="164">
        <v>40484</v>
      </c>
      <c r="B255" s="185">
        <v>360</v>
      </c>
      <c r="C255" s="185">
        <v>35</v>
      </c>
      <c r="D255" s="126" t="s">
        <v>936</v>
      </c>
      <c r="E255" s="171">
        <v>400</v>
      </c>
      <c r="F255" s="171"/>
      <c r="G255" s="171"/>
      <c r="J255" s="240"/>
      <c r="K255" s="171"/>
    </row>
    <row r="256" spans="1:11" s="126" customFormat="1" ht="12.75">
      <c r="A256" s="164">
        <v>40492</v>
      </c>
      <c r="B256" s="185">
        <v>367</v>
      </c>
      <c r="C256" s="185">
        <v>35</v>
      </c>
      <c r="D256" s="126" t="s">
        <v>967</v>
      </c>
      <c r="E256" s="171">
        <v>1982.5</v>
      </c>
      <c r="F256" s="171"/>
      <c r="G256" s="171"/>
      <c r="J256" s="240"/>
      <c r="K256" s="171"/>
    </row>
    <row r="257" spans="1:11" s="126" customFormat="1" ht="12.75">
      <c r="A257" s="164">
        <v>40497</v>
      </c>
      <c r="B257" s="185">
        <v>369</v>
      </c>
      <c r="C257" s="185">
        <v>35</v>
      </c>
      <c r="D257" s="126" t="s">
        <v>970</v>
      </c>
      <c r="E257" s="171">
        <v>2387.5</v>
      </c>
      <c r="F257" s="171"/>
      <c r="G257" s="171"/>
      <c r="J257" s="240"/>
      <c r="K257" s="171"/>
    </row>
    <row r="258" spans="1:11" s="126" customFormat="1" ht="12.75">
      <c r="A258" s="164">
        <v>40504</v>
      </c>
      <c r="B258" s="185">
        <v>374</v>
      </c>
      <c r="C258" s="185">
        <v>35</v>
      </c>
      <c r="D258" s="126" t="s">
        <v>968</v>
      </c>
      <c r="E258" s="171">
        <v>1100</v>
      </c>
      <c r="F258" s="171"/>
      <c r="G258" s="171"/>
      <c r="J258" s="240"/>
      <c r="K258" s="171"/>
    </row>
    <row r="259" spans="1:11" s="126" customFormat="1" ht="12.75">
      <c r="A259" s="164">
        <v>40504</v>
      </c>
      <c r="B259" s="185">
        <v>375</v>
      </c>
      <c r="C259" s="185">
        <v>35</v>
      </c>
      <c r="D259" s="126" t="s">
        <v>941</v>
      </c>
      <c r="E259" s="171">
        <v>3600</v>
      </c>
      <c r="F259" s="171"/>
      <c r="G259" s="171"/>
      <c r="J259" s="240"/>
      <c r="K259" s="171"/>
    </row>
    <row r="260" spans="1:11" s="126" customFormat="1" ht="12.75">
      <c r="A260" s="164">
        <v>40511</v>
      </c>
      <c r="B260" s="185">
        <v>388</v>
      </c>
      <c r="C260" s="185">
        <v>35</v>
      </c>
      <c r="D260" s="126" t="s">
        <v>1000</v>
      </c>
      <c r="E260" s="171">
        <v>200</v>
      </c>
      <c r="F260" s="171"/>
      <c r="G260" s="171"/>
      <c r="J260" s="240"/>
      <c r="K260" s="171"/>
    </row>
    <row r="261" spans="1:11" s="126" customFormat="1" ht="12.75">
      <c r="A261" s="164">
        <v>40525</v>
      </c>
      <c r="B261" s="185">
        <v>416</v>
      </c>
      <c r="C261" s="185">
        <v>35</v>
      </c>
      <c r="D261" s="126" t="s">
        <v>719</v>
      </c>
      <c r="E261" s="171">
        <v>353</v>
      </c>
      <c r="F261" s="171"/>
      <c r="G261" s="171"/>
      <c r="J261" s="240"/>
      <c r="K261" s="171"/>
    </row>
    <row r="262" spans="1:11" s="126" customFormat="1" ht="12.75">
      <c r="A262" s="164">
        <v>40526</v>
      </c>
      <c r="B262" s="185">
        <v>419</v>
      </c>
      <c r="C262" s="185">
        <v>35</v>
      </c>
      <c r="D262" s="126" t="s">
        <v>1030</v>
      </c>
      <c r="E262" s="171">
        <v>1120</v>
      </c>
      <c r="F262" s="171"/>
      <c r="G262" s="171"/>
      <c r="H262" s="244"/>
      <c r="J262" s="240"/>
      <c r="K262" s="171"/>
    </row>
    <row r="263" spans="1:11" s="126" customFormat="1" ht="12.75">
      <c r="A263" s="164">
        <v>40527</v>
      </c>
      <c r="B263" s="185">
        <v>424</v>
      </c>
      <c r="C263" s="185">
        <v>35</v>
      </c>
      <c r="D263" s="126" t="s">
        <v>1034</v>
      </c>
      <c r="E263" s="171">
        <v>960</v>
      </c>
      <c r="F263" s="171"/>
      <c r="G263" s="171"/>
      <c r="H263" s="244"/>
      <c r="J263" s="240"/>
      <c r="K263" s="171"/>
    </row>
    <row r="264" spans="1:11" s="126" customFormat="1" ht="12.75">
      <c r="A264" s="184">
        <v>40529</v>
      </c>
      <c r="B264" s="123">
        <v>431</v>
      </c>
      <c r="C264" s="185">
        <v>35</v>
      </c>
      <c r="D264" s="126" t="s">
        <v>1037</v>
      </c>
      <c r="E264" s="171">
        <v>2560</v>
      </c>
      <c r="F264" s="171"/>
      <c r="G264" s="171"/>
      <c r="H264" s="149"/>
      <c r="J264" s="240"/>
      <c r="K264" s="171"/>
    </row>
    <row r="265" spans="1:8" ht="12.75">
      <c r="A265" s="74"/>
      <c r="C265" s="1"/>
      <c r="G265" s="5"/>
      <c r="H265" s="2"/>
    </row>
    <row r="266" spans="1:7" ht="12.75">
      <c r="A266" s="74"/>
      <c r="E266" s="73">
        <f>SUM(E179:E265)</f>
        <v>125909</v>
      </c>
      <c r="F266" s="73">
        <f>SUM(F179:F265)</f>
        <v>0</v>
      </c>
      <c r="G266" s="73">
        <f>SUM(E266:F266)</f>
        <v>125909</v>
      </c>
    </row>
    <row r="267" ht="12.75">
      <c r="A267" s="74"/>
    </row>
    <row r="268" spans="1:8" ht="12.75">
      <c r="A268" s="164">
        <v>40438</v>
      </c>
      <c r="B268" s="1">
        <v>292</v>
      </c>
      <c r="C268" s="4" t="s">
        <v>186</v>
      </c>
      <c r="D268" s="126" t="s">
        <v>839</v>
      </c>
      <c r="E268" s="5">
        <v>3200</v>
      </c>
      <c r="G268" s="5"/>
      <c r="H268" s="2"/>
    </row>
    <row r="269" ht="12.75">
      <c r="A269" s="74"/>
    </row>
    <row r="270" spans="1:7" ht="12.75">
      <c r="A270" s="74"/>
      <c r="E270" s="73">
        <f>SUM(E268:E269)</f>
        <v>3200</v>
      </c>
      <c r="F270" s="73">
        <f>SUM(F268:F269)</f>
        <v>0</v>
      </c>
      <c r="G270" s="73">
        <f>SUM(E270:F270)</f>
        <v>3200</v>
      </c>
    </row>
    <row r="271" ht="12.75">
      <c r="A271" s="74"/>
    </row>
    <row r="272" spans="1:9" s="110" customFormat="1" ht="13.5" customHeight="1">
      <c r="A272" s="272">
        <v>40491</v>
      </c>
      <c r="B272" s="127">
        <v>362</v>
      </c>
      <c r="C272" s="197" t="s">
        <v>187</v>
      </c>
      <c r="D272" s="110" t="s">
        <v>957</v>
      </c>
      <c r="E272" s="273">
        <v>2240</v>
      </c>
      <c r="F272" s="190"/>
      <c r="G272" s="168"/>
      <c r="H272" s="2"/>
      <c r="I272" s="2"/>
    </row>
    <row r="273" ht="12.75">
      <c r="A273" s="74"/>
    </row>
    <row r="274" spans="1:7" ht="12.75">
      <c r="A274" s="74"/>
      <c r="E274" s="73">
        <f>SUM(E272:E273)</f>
        <v>2240</v>
      </c>
      <c r="F274" s="73">
        <f>SUM(F272:F273)</f>
        <v>0</v>
      </c>
      <c r="G274" s="73">
        <f>SUM(E274:F274)</f>
        <v>2240</v>
      </c>
    </row>
    <row r="275" ht="12.75">
      <c r="A275" s="74"/>
    </row>
    <row r="276" spans="1:8" ht="12.75">
      <c r="A276" s="164">
        <v>40304</v>
      </c>
      <c r="B276" s="1">
        <v>76</v>
      </c>
      <c r="C276" s="4" t="s">
        <v>246</v>
      </c>
      <c r="D276" s="126" t="s">
        <v>406</v>
      </c>
      <c r="E276" s="5">
        <v>1000</v>
      </c>
      <c r="G276" s="5"/>
      <c r="H276" s="2"/>
    </row>
    <row r="277" spans="1:8" ht="12.75">
      <c r="A277" s="164">
        <v>40316</v>
      </c>
      <c r="B277" s="1">
        <v>91</v>
      </c>
      <c r="C277" s="4" t="s">
        <v>246</v>
      </c>
      <c r="D277" s="126" t="s">
        <v>408</v>
      </c>
      <c r="E277" s="5">
        <v>20000</v>
      </c>
      <c r="G277" s="5"/>
      <c r="H277" s="2"/>
    </row>
    <row r="278" spans="1:8" ht="12.75">
      <c r="A278" s="164">
        <v>40316</v>
      </c>
      <c r="B278" s="1">
        <v>92</v>
      </c>
      <c r="C278" s="4" t="s">
        <v>246</v>
      </c>
      <c r="D278" s="126" t="s">
        <v>409</v>
      </c>
      <c r="E278" s="5">
        <v>15000</v>
      </c>
      <c r="G278" s="5"/>
      <c r="H278" s="2"/>
    </row>
    <row r="279" spans="1:8" ht="12.75">
      <c r="A279" s="164">
        <v>40357</v>
      </c>
      <c r="B279" s="1">
        <v>168</v>
      </c>
      <c r="C279" s="4" t="s">
        <v>246</v>
      </c>
      <c r="D279" s="126" t="s">
        <v>407</v>
      </c>
      <c r="E279" s="5">
        <v>20000</v>
      </c>
      <c r="G279" s="5"/>
      <c r="H279" s="2"/>
    </row>
    <row r="280" spans="1:8" ht="12.75">
      <c r="A280" s="164">
        <v>40373</v>
      </c>
      <c r="B280" s="1">
        <v>190</v>
      </c>
      <c r="C280" s="4" t="s">
        <v>246</v>
      </c>
      <c r="D280" s="126" t="s">
        <v>572</v>
      </c>
      <c r="E280" s="5">
        <v>20000</v>
      </c>
      <c r="G280" s="5"/>
      <c r="H280" s="2"/>
    </row>
    <row r="281" spans="1:8" ht="12.75">
      <c r="A281" s="164">
        <v>40539</v>
      </c>
      <c r="B281" s="1">
        <v>450</v>
      </c>
      <c r="C281" s="4" t="s">
        <v>246</v>
      </c>
      <c r="D281" s="126" t="s">
        <v>410</v>
      </c>
      <c r="E281" s="5">
        <v>20000</v>
      </c>
      <c r="G281" s="5"/>
      <c r="H281" s="2"/>
    </row>
    <row r="282" ht="12.75">
      <c r="A282" s="74"/>
    </row>
    <row r="283" spans="1:7" ht="12.75">
      <c r="A283" s="74"/>
      <c r="E283" s="73">
        <f>SUM(E276:E282)</f>
        <v>96000</v>
      </c>
      <c r="F283" s="73">
        <f>SUM(F276:F282)</f>
        <v>0</v>
      </c>
      <c r="G283" s="73">
        <f>SUM(E283:F283)</f>
        <v>96000</v>
      </c>
    </row>
    <row r="284" ht="12.75">
      <c r="A284" s="74"/>
    </row>
    <row r="285" spans="1:10" ht="12.75">
      <c r="A285" s="164"/>
      <c r="C285" s="4" t="s">
        <v>245</v>
      </c>
      <c r="D285" s="71"/>
      <c r="E285" s="5">
        <v>0</v>
      </c>
      <c r="G285" s="5"/>
      <c r="H285" s="2"/>
      <c r="I285" s="110"/>
      <c r="J285" s="110"/>
    </row>
    <row r="286" ht="12.75">
      <c r="A286" s="74"/>
    </row>
    <row r="287" spans="1:7" ht="12.75">
      <c r="A287" s="74"/>
      <c r="E287" s="73">
        <f>SUM(E285:E286)</f>
        <v>0</v>
      </c>
      <c r="F287" s="73">
        <f>SUM(F285:F286)</f>
        <v>0</v>
      </c>
      <c r="G287" s="73">
        <f>SUM(E287:F287)</f>
        <v>0</v>
      </c>
    </row>
    <row r="288" ht="12.75">
      <c r="A288" s="74"/>
    </row>
    <row r="289" spans="1:9" s="110" customFormat="1" ht="13.5" customHeight="1">
      <c r="A289" s="164">
        <v>40204</v>
      </c>
      <c r="B289" s="127">
        <v>4</v>
      </c>
      <c r="C289" s="131" t="s">
        <v>114</v>
      </c>
      <c r="D289" s="110" t="s">
        <v>310</v>
      </c>
      <c r="E289" s="170">
        <v>-1180</v>
      </c>
      <c r="F289" s="190"/>
      <c r="G289" s="168"/>
      <c r="H289" s="2"/>
      <c r="I289" s="2"/>
    </row>
    <row r="290" spans="1:9" s="110" customFormat="1" ht="13.5" customHeight="1">
      <c r="A290" s="164">
        <v>40210</v>
      </c>
      <c r="B290" s="127">
        <v>10</v>
      </c>
      <c r="C290" s="131" t="s">
        <v>114</v>
      </c>
      <c r="D290" s="110" t="s">
        <v>321</v>
      </c>
      <c r="E290" s="170">
        <v>-5140</v>
      </c>
      <c r="F290" s="190"/>
      <c r="G290" s="168"/>
      <c r="H290" s="2"/>
      <c r="I290" s="2"/>
    </row>
    <row r="291" spans="1:9" s="110" customFormat="1" ht="13.5" customHeight="1">
      <c r="A291" s="164">
        <v>40214</v>
      </c>
      <c r="B291" s="127">
        <v>12</v>
      </c>
      <c r="C291" s="131" t="s">
        <v>114</v>
      </c>
      <c r="D291" s="110" t="s">
        <v>327</v>
      </c>
      <c r="E291" s="128">
        <f>-(240*4)-(180*9)-(200*3)-(160+80)-(50*3)</f>
        <v>-3570</v>
      </c>
      <c r="F291" s="190"/>
      <c r="G291" s="168"/>
      <c r="H291" s="2"/>
      <c r="I291" s="2"/>
    </row>
    <row r="292" spans="1:9" s="110" customFormat="1" ht="13.5" customHeight="1">
      <c r="A292" s="164">
        <v>40235</v>
      </c>
      <c r="B292" s="127">
        <v>21</v>
      </c>
      <c r="C292" s="131" t="s">
        <v>114</v>
      </c>
      <c r="D292" s="110" t="s">
        <v>339</v>
      </c>
      <c r="E292" s="170">
        <v>-1800</v>
      </c>
      <c r="F292" s="190"/>
      <c r="G292" s="168"/>
      <c r="H292" s="2"/>
      <c r="I292" s="2"/>
    </row>
    <row r="293" spans="1:9" s="110" customFormat="1" ht="13.5" customHeight="1">
      <c r="A293" s="164">
        <v>40241</v>
      </c>
      <c r="B293" s="127">
        <v>25</v>
      </c>
      <c r="C293" s="131" t="s">
        <v>114</v>
      </c>
      <c r="D293" s="149" t="s">
        <v>355</v>
      </c>
      <c r="E293" s="170">
        <v>-5681.97</v>
      </c>
      <c r="F293" s="190"/>
      <c r="G293" s="168"/>
      <c r="H293" s="2"/>
      <c r="I293" s="2"/>
    </row>
    <row r="294" spans="1:9" s="110" customFormat="1" ht="13.5" customHeight="1">
      <c r="A294" s="164">
        <v>40241</v>
      </c>
      <c r="B294" s="127">
        <v>26</v>
      </c>
      <c r="C294" s="131" t="s">
        <v>114</v>
      </c>
      <c r="D294" s="149" t="s">
        <v>348</v>
      </c>
      <c r="E294" s="170">
        <v>-1513.01</v>
      </c>
      <c r="F294" s="190"/>
      <c r="G294" s="168"/>
      <c r="H294" s="2"/>
      <c r="I294" s="2"/>
    </row>
    <row r="295" spans="1:9" s="110" customFormat="1" ht="13.5" customHeight="1">
      <c r="A295" s="164">
        <v>40245</v>
      </c>
      <c r="B295" s="127">
        <v>29</v>
      </c>
      <c r="C295" s="131" t="s">
        <v>114</v>
      </c>
      <c r="D295" s="110" t="s">
        <v>359</v>
      </c>
      <c r="E295" s="170">
        <v>-3030</v>
      </c>
      <c r="F295" s="190"/>
      <c r="G295" s="168"/>
      <c r="H295" s="2"/>
      <c r="I295" s="2"/>
    </row>
    <row r="296" spans="1:9" s="110" customFormat="1" ht="13.5" customHeight="1">
      <c r="A296" s="164">
        <v>40266</v>
      </c>
      <c r="B296" s="127">
        <v>32</v>
      </c>
      <c r="C296" s="131" t="s">
        <v>114</v>
      </c>
      <c r="D296" s="110" t="s">
        <v>361</v>
      </c>
      <c r="E296" s="170">
        <v>-2320</v>
      </c>
      <c r="F296" s="190"/>
      <c r="G296" s="168"/>
      <c r="H296" s="2"/>
      <c r="I296" s="2"/>
    </row>
    <row r="297" spans="1:9" s="110" customFormat="1" ht="13.5" customHeight="1">
      <c r="A297" s="164">
        <v>40266</v>
      </c>
      <c r="B297" s="127">
        <v>32</v>
      </c>
      <c r="C297" s="131" t="s">
        <v>114</v>
      </c>
      <c r="D297" s="110" t="s">
        <v>362</v>
      </c>
      <c r="E297" s="170">
        <v>-2130</v>
      </c>
      <c r="F297" s="190"/>
      <c r="G297" s="168"/>
      <c r="H297" s="2"/>
      <c r="I297" s="2"/>
    </row>
    <row r="298" spans="1:9" s="110" customFormat="1" ht="13.5" customHeight="1">
      <c r="A298" s="164">
        <v>40282</v>
      </c>
      <c r="B298" s="127">
        <v>39</v>
      </c>
      <c r="C298" s="131" t="s">
        <v>114</v>
      </c>
      <c r="D298" s="149" t="s">
        <v>381</v>
      </c>
      <c r="E298" s="170">
        <v>-50</v>
      </c>
      <c r="F298" s="190"/>
      <c r="G298" s="168"/>
      <c r="H298" s="2"/>
      <c r="I298" s="2"/>
    </row>
    <row r="299" spans="1:9" s="110" customFormat="1" ht="13.5" customHeight="1">
      <c r="A299" s="164">
        <v>40295</v>
      </c>
      <c r="B299" s="127">
        <v>51</v>
      </c>
      <c r="C299" s="131" t="s">
        <v>114</v>
      </c>
      <c r="D299" s="149" t="s">
        <v>390</v>
      </c>
      <c r="E299" s="170">
        <v>-480</v>
      </c>
      <c r="F299" s="190"/>
      <c r="G299" s="168"/>
      <c r="H299" s="2"/>
      <c r="I299" s="2"/>
    </row>
    <row r="300" spans="1:9" s="110" customFormat="1" ht="13.5" customHeight="1">
      <c r="A300" s="164">
        <v>40295</v>
      </c>
      <c r="B300" s="127">
        <v>52</v>
      </c>
      <c r="C300" s="131" t="s">
        <v>114</v>
      </c>
      <c r="D300" s="149" t="s">
        <v>389</v>
      </c>
      <c r="E300" s="170">
        <v>-300</v>
      </c>
      <c r="F300" s="190"/>
      <c r="G300" s="168"/>
      <c r="H300" s="2"/>
      <c r="I300" s="2"/>
    </row>
    <row r="301" spans="1:9" s="110" customFormat="1" ht="13.5" customHeight="1">
      <c r="A301" s="164">
        <v>40295</v>
      </c>
      <c r="B301" s="127">
        <v>53</v>
      </c>
      <c r="C301" s="131" t="s">
        <v>114</v>
      </c>
      <c r="D301" s="149" t="s">
        <v>391</v>
      </c>
      <c r="E301" s="170">
        <v>-180</v>
      </c>
      <c r="F301" s="190"/>
      <c r="G301" s="168"/>
      <c r="H301" s="2"/>
      <c r="I301" s="2"/>
    </row>
    <row r="302" spans="1:9" s="110" customFormat="1" ht="13.5" customHeight="1">
      <c r="A302" s="164">
        <v>40298</v>
      </c>
      <c r="B302" s="127">
        <v>63</v>
      </c>
      <c r="C302" s="131" t="s">
        <v>114</v>
      </c>
      <c r="D302" s="149" t="s">
        <v>392</v>
      </c>
      <c r="E302" s="170">
        <v>-480</v>
      </c>
      <c r="F302" s="190"/>
      <c r="G302" s="168"/>
      <c r="H302" s="2"/>
      <c r="I302" s="2"/>
    </row>
    <row r="303" spans="1:9" s="110" customFormat="1" ht="13.5" customHeight="1">
      <c r="A303" s="164">
        <v>40319</v>
      </c>
      <c r="B303" s="127">
        <v>103</v>
      </c>
      <c r="C303" s="131" t="s">
        <v>114</v>
      </c>
      <c r="D303" s="149" t="s">
        <v>461</v>
      </c>
      <c r="E303" s="170">
        <v>-1285</v>
      </c>
      <c r="F303" s="190"/>
      <c r="G303" s="168"/>
      <c r="H303" s="2"/>
      <c r="I303" s="2"/>
    </row>
    <row r="304" spans="1:9" s="110" customFormat="1" ht="13.5" customHeight="1">
      <c r="A304" s="184">
        <v>40323</v>
      </c>
      <c r="B304" s="127">
        <v>107</v>
      </c>
      <c r="C304" s="131" t="s">
        <v>114</v>
      </c>
      <c r="D304" s="149" t="s">
        <v>464</v>
      </c>
      <c r="E304" s="170">
        <v>-850</v>
      </c>
      <c r="F304" s="190"/>
      <c r="G304" s="168"/>
      <c r="H304" s="2"/>
      <c r="I304" s="2"/>
    </row>
    <row r="305" spans="1:9" s="110" customFormat="1" ht="13.5" customHeight="1">
      <c r="A305" s="184">
        <v>40323</v>
      </c>
      <c r="B305" s="127">
        <v>109</v>
      </c>
      <c r="C305" s="131" t="s">
        <v>114</v>
      </c>
      <c r="D305" s="149" t="s">
        <v>470</v>
      </c>
      <c r="E305" s="170">
        <v>-1260</v>
      </c>
      <c r="F305" s="190"/>
      <c r="G305" s="168"/>
      <c r="H305" s="2"/>
      <c r="I305" s="2"/>
    </row>
    <row r="306" spans="1:9" s="110" customFormat="1" ht="13.5" customHeight="1">
      <c r="A306" s="184">
        <v>40323</v>
      </c>
      <c r="B306" s="127">
        <v>110</v>
      </c>
      <c r="C306" s="131" t="s">
        <v>114</v>
      </c>
      <c r="D306" s="149" t="s">
        <v>476</v>
      </c>
      <c r="E306" s="170">
        <v>-4395</v>
      </c>
      <c r="F306" s="190"/>
      <c r="G306" s="168"/>
      <c r="H306" s="2"/>
      <c r="I306" s="2"/>
    </row>
    <row r="307" spans="1:9" s="110" customFormat="1" ht="13.5" customHeight="1">
      <c r="A307" s="164">
        <v>40324</v>
      </c>
      <c r="B307" s="127">
        <v>111</v>
      </c>
      <c r="C307" s="131" t="s">
        <v>114</v>
      </c>
      <c r="D307" s="149" t="s">
        <v>473</v>
      </c>
      <c r="E307" s="170">
        <v>-110</v>
      </c>
      <c r="F307" s="190"/>
      <c r="G307" s="168"/>
      <c r="H307" s="2"/>
      <c r="I307" s="2"/>
    </row>
    <row r="308" spans="1:9" s="110" customFormat="1" ht="13.5" customHeight="1">
      <c r="A308" s="184">
        <v>40326</v>
      </c>
      <c r="B308" s="127">
        <v>114</v>
      </c>
      <c r="C308" s="131" t="s">
        <v>114</v>
      </c>
      <c r="D308" s="149" t="s">
        <v>493</v>
      </c>
      <c r="E308" s="170">
        <v>-8065</v>
      </c>
      <c r="F308" s="190"/>
      <c r="G308" s="168"/>
      <c r="H308" s="2"/>
      <c r="I308" s="2"/>
    </row>
    <row r="309" spans="1:9" s="110" customFormat="1" ht="13.5" customHeight="1">
      <c r="A309" s="164">
        <v>40326</v>
      </c>
      <c r="B309" s="127">
        <v>115</v>
      </c>
      <c r="C309" s="131" t="s">
        <v>114</v>
      </c>
      <c r="D309" s="149" t="s">
        <v>500</v>
      </c>
      <c r="E309" s="170">
        <v>-3185</v>
      </c>
      <c r="F309" s="190"/>
      <c r="G309" s="168"/>
      <c r="H309" s="2"/>
      <c r="I309" s="2"/>
    </row>
    <row r="310" spans="1:9" s="110" customFormat="1" ht="13.5" customHeight="1">
      <c r="A310" s="164">
        <v>40329</v>
      </c>
      <c r="B310" s="127">
        <v>118</v>
      </c>
      <c r="C310" s="131" t="s">
        <v>114</v>
      </c>
      <c r="D310" s="149" t="s">
        <v>505</v>
      </c>
      <c r="E310" s="170">
        <v>-6100</v>
      </c>
      <c r="F310" s="190"/>
      <c r="G310" s="168"/>
      <c r="H310" s="2"/>
      <c r="I310" s="2"/>
    </row>
    <row r="311" spans="1:9" s="110" customFormat="1" ht="13.5" customHeight="1">
      <c r="A311" s="164">
        <v>40331</v>
      </c>
      <c r="B311" s="127">
        <v>120</v>
      </c>
      <c r="C311" s="131" t="s">
        <v>114</v>
      </c>
      <c r="D311" s="149" t="s">
        <v>479</v>
      </c>
      <c r="E311" s="170">
        <v>-1320</v>
      </c>
      <c r="F311" s="190"/>
      <c r="G311" s="168"/>
      <c r="H311" s="2"/>
      <c r="I311" s="2"/>
    </row>
    <row r="312" spans="1:9" s="110" customFormat="1" ht="13.5" customHeight="1">
      <c r="A312" s="184">
        <v>40337</v>
      </c>
      <c r="B312" s="127">
        <v>127</v>
      </c>
      <c r="C312" s="131" t="s">
        <v>114</v>
      </c>
      <c r="D312" s="149" t="s">
        <v>519</v>
      </c>
      <c r="E312" s="170">
        <v>-610</v>
      </c>
      <c r="F312" s="190"/>
      <c r="G312" s="168"/>
      <c r="H312" s="2"/>
      <c r="I312" s="2"/>
    </row>
    <row r="313" spans="1:9" s="110" customFormat="1" ht="13.5" customHeight="1">
      <c r="A313" s="184">
        <v>40337</v>
      </c>
      <c r="B313" s="127">
        <v>128</v>
      </c>
      <c r="C313" s="131" t="s">
        <v>114</v>
      </c>
      <c r="D313" s="149" t="s">
        <v>514</v>
      </c>
      <c r="E313" s="170">
        <v>-1320</v>
      </c>
      <c r="F313" s="190"/>
      <c r="G313" s="168"/>
      <c r="H313" s="2"/>
      <c r="I313" s="2"/>
    </row>
    <row r="314" spans="1:9" s="110" customFormat="1" ht="13.5" customHeight="1">
      <c r="A314" s="164">
        <v>40338</v>
      </c>
      <c r="B314" s="127">
        <v>136</v>
      </c>
      <c r="C314" s="131" t="s">
        <v>114</v>
      </c>
      <c r="D314" s="149" t="s">
        <v>515</v>
      </c>
      <c r="E314" s="170">
        <v>-1170</v>
      </c>
      <c r="F314" s="190"/>
      <c r="G314" s="168"/>
      <c r="H314" s="2"/>
      <c r="I314" s="2"/>
    </row>
    <row r="315" spans="1:9" s="110" customFormat="1" ht="13.5" customHeight="1">
      <c r="A315" s="164">
        <v>40338</v>
      </c>
      <c r="B315" s="127">
        <v>137</v>
      </c>
      <c r="C315" s="131" t="s">
        <v>114</v>
      </c>
      <c r="D315" s="149" t="s">
        <v>520</v>
      </c>
      <c r="E315" s="170">
        <v>-2940</v>
      </c>
      <c r="F315" s="190"/>
      <c r="G315" s="168"/>
      <c r="H315" s="2"/>
      <c r="I315" s="2"/>
    </row>
    <row r="316" spans="1:9" s="110" customFormat="1" ht="13.5" customHeight="1">
      <c r="A316" s="164">
        <v>40343</v>
      </c>
      <c r="B316" s="127">
        <v>148</v>
      </c>
      <c r="C316" s="131" t="s">
        <v>114</v>
      </c>
      <c r="D316" s="149" t="s">
        <v>584</v>
      </c>
      <c r="E316" s="170">
        <v>-3780</v>
      </c>
      <c r="F316" s="190"/>
      <c r="G316" s="168"/>
      <c r="H316" s="2"/>
      <c r="I316" s="2"/>
    </row>
    <row r="317" spans="1:9" s="110" customFormat="1" ht="13.5" customHeight="1">
      <c r="A317" s="164">
        <v>40344</v>
      </c>
      <c r="B317" s="127">
        <v>149</v>
      </c>
      <c r="C317" s="131" t="s">
        <v>114</v>
      </c>
      <c r="D317" s="149" t="s">
        <v>588</v>
      </c>
      <c r="E317" s="170">
        <v>-2310</v>
      </c>
      <c r="F317" s="190"/>
      <c r="G317" s="168"/>
      <c r="H317" s="2"/>
      <c r="I317" s="2"/>
    </row>
    <row r="318" spans="1:9" s="110" customFormat="1" ht="13.5" customHeight="1">
      <c r="A318" s="164">
        <v>40344</v>
      </c>
      <c r="B318" s="127">
        <v>150</v>
      </c>
      <c r="C318" s="131" t="s">
        <v>114</v>
      </c>
      <c r="D318" s="149" t="s">
        <v>587</v>
      </c>
      <c r="E318" s="170">
        <v>-100</v>
      </c>
      <c r="F318" s="190"/>
      <c r="G318" s="168"/>
      <c r="H318" s="2"/>
      <c r="I318" s="2"/>
    </row>
    <row r="319" spans="1:9" s="110" customFormat="1" ht="13.5" customHeight="1">
      <c r="A319" s="164">
        <v>40350</v>
      </c>
      <c r="B319" s="127">
        <v>156</v>
      </c>
      <c r="C319" s="131" t="s">
        <v>114</v>
      </c>
      <c r="D319" s="149" t="s">
        <v>534</v>
      </c>
      <c r="E319" s="170">
        <v>-5500</v>
      </c>
      <c r="F319" s="190"/>
      <c r="G319" s="168"/>
      <c r="H319" s="2"/>
      <c r="I319" s="2"/>
    </row>
    <row r="320" spans="1:9" s="110" customFormat="1" ht="13.5" customHeight="1">
      <c r="A320" s="164">
        <v>40351</v>
      </c>
      <c r="B320" s="127">
        <v>157</v>
      </c>
      <c r="C320" s="131" t="s">
        <v>114</v>
      </c>
      <c r="D320" s="149" t="s">
        <v>601</v>
      </c>
      <c r="E320" s="170">
        <v>-910</v>
      </c>
      <c r="F320" s="190"/>
      <c r="G320" s="168"/>
      <c r="H320" s="2"/>
      <c r="I320" s="2"/>
    </row>
    <row r="321" spans="1:9" s="110" customFormat="1" ht="13.5" customHeight="1">
      <c r="A321" s="164">
        <v>40351</v>
      </c>
      <c r="B321" s="127">
        <v>158</v>
      </c>
      <c r="C321" s="131" t="s">
        <v>114</v>
      </c>
      <c r="D321" s="149" t="s">
        <v>602</v>
      </c>
      <c r="E321" s="170">
        <v>-4790</v>
      </c>
      <c r="F321" s="190"/>
      <c r="G321" s="168"/>
      <c r="H321" s="2"/>
      <c r="I321" s="2"/>
    </row>
    <row r="322" spans="1:9" s="110" customFormat="1" ht="13.5" customHeight="1">
      <c r="A322" s="164">
        <v>40352</v>
      </c>
      <c r="B322" s="127">
        <v>159</v>
      </c>
      <c r="C322" s="131" t="s">
        <v>114</v>
      </c>
      <c r="D322" s="149" t="s">
        <v>606</v>
      </c>
      <c r="E322" s="170">
        <v>-910</v>
      </c>
      <c r="F322" s="190"/>
      <c r="G322" s="168"/>
      <c r="H322" s="2"/>
      <c r="I322" s="2"/>
    </row>
    <row r="323" spans="1:9" s="110" customFormat="1" ht="13.5" customHeight="1">
      <c r="A323" s="164">
        <v>40352</v>
      </c>
      <c r="B323" s="127">
        <v>160</v>
      </c>
      <c r="C323" s="131" t="s">
        <v>114</v>
      </c>
      <c r="D323" s="149" t="s">
        <v>607</v>
      </c>
      <c r="E323" s="170">
        <v>-7590</v>
      </c>
      <c r="F323" s="190"/>
      <c r="G323" s="168"/>
      <c r="H323" s="2"/>
      <c r="I323" s="2"/>
    </row>
    <row r="324" spans="1:9" s="110" customFormat="1" ht="13.5" customHeight="1">
      <c r="A324" s="164">
        <v>40353</v>
      </c>
      <c r="B324" s="127">
        <v>163</v>
      </c>
      <c r="C324" s="131" t="s">
        <v>114</v>
      </c>
      <c r="D324" s="149" t="s">
        <v>610</v>
      </c>
      <c r="E324" s="170">
        <v>-250</v>
      </c>
      <c r="F324" s="190"/>
      <c r="G324" s="168"/>
      <c r="H324" s="2"/>
      <c r="I324" s="2"/>
    </row>
    <row r="325" spans="1:9" s="110" customFormat="1" ht="13.5" customHeight="1">
      <c r="A325" s="164">
        <v>40353</v>
      </c>
      <c r="B325" s="127">
        <v>164</v>
      </c>
      <c r="C325" s="131" t="s">
        <v>114</v>
      </c>
      <c r="D325" s="149" t="s">
        <v>611</v>
      </c>
      <c r="E325" s="170">
        <v>-3550</v>
      </c>
      <c r="F325" s="190"/>
      <c r="G325" s="168"/>
      <c r="H325" s="2"/>
      <c r="I325" s="2"/>
    </row>
    <row r="326" spans="1:9" s="110" customFormat="1" ht="13.5" customHeight="1">
      <c r="A326" s="164">
        <v>40359</v>
      </c>
      <c r="B326" s="127">
        <v>170</v>
      </c>
      <c r="C326" s="131" t="s">
        <v>114</v>
      </c>
      <c r="D326" s="149" t="s">
        <v>616</v>
      </c>
      <c r="E326" s="170">
        <v>-330</v>
      </c>
      <c r="F326" s="190"/>
      <c r="G326" s="168"/>
      <c r="H326" s="2"/>
      <c r="I326" s="2"/>
    </row>
    <row r="327" spans="1:9" s="110" customFormat="1" ht="13.5" customHeight="1">
      <c r="A327" s="164">
        <v>40359</v>
      </c>
      <c r="B327" s="127">
        <v>171</v>
      </c>
      <c r="C327" s="131" t="s">
        <v>114</v>
      </c>
      <c r="D327" s="149" t="s">
        <v>617</v>
      </c>
      <c r="E327" s="170">
        <v>-1555</v>
      </c>
      <c r="F327" s="190"/>
      <c r="G327" s="168"/>
      <c r="H327" s="2"/>
      <c r="I327" s="2"/>
    </row>
    <row r="328" spans="1:9" s="110" customFormat="1" ht="13.5" customHeight="1">
      <c r="A328" s="164">
        <v>40372</v>
      </c>
      <c r="B328" s="127">
        <v>188</v>
      </c>
      <c r="C328" s="131" t="s">
        <v>114</v>
      </c>
      <c r="D328" s="149" t="s">
        <v>652</v>
      </c>
      <c r="E328" s="170">
        <v>-2825</v>
      </c>
      <c r="F328" s="190"/>
      <c r="G328" s="168"/>
      <c r="H328" s="2"/>
      <c r="I328" s="2"/>
    </row>
    <row r="329" spans="1:9" s="110" customFormat="1" ht="13.5" customHeight="1">
      <c r="A329" s="164">
        <v>40374</v>
      </c>
      <c r="B329" s="127">
        <v>191</v>
      </c>
      <c r="C329" s="131" t="s">
        <v>114</v>
      </c>
      <c r="D329" s="149" t="s">
        <v>645</v>
      </c>
      <c r="E329" s="170">
        <v>-1860</v>
      </c>
      <c r="F329" s="190"/>
      <c r="G329" s="168"/>
      <c r="H329" s="2"/>
      <c r="I329" s="2"/>
    </row>
    <row r="330" spans="1:9" s="110" customFormat="1" ht="13.5" customHeight="1">
      <c r="A330" s="164">
        <v>40381</v>
      </c>
      <c r="B330" s="127">
        <v>195</v>
      </c>
      <c r="C330" s="131" t="s">
        <v>114</v>
      </c>
      <c r="D330" s="149" t="s">
        <v>630</v>
      </c>
      <c r="E330" s="170">
        <v>-100</v>
      </c>
      <c r="F330" s="190"/>
      <c r="G330" s="168"/>
      <c r="H330" s="2"/>
      <c r="I330" s="2"/>
    </row>
    <row r="331" spans="1:10" s="110" customFormat="1" ht="12.75">
      <c r="A331" s="164">
        <v>40201</v>
      </c>
      <c r="B331" s="127">
        <v>197</v>
      </c>
      <c r="C331" s="131" t="s">
        <v>114</v>
      </c>
      <c r="D331" s="149" t="s">
        <v>665</v>
      </c>
      <c r="E331" s="170">
        <v>-280</v>
      </c>
      <c r="F331" s="190"/>
      <c r="G331" s="168"/>
      <c r="J331" s="129"/>
    </row>
    <row r="332" spans="1:10" s="110" customFormat="1" ht="12.75">
      <c r="A332" s="164">
        <v>40201</v>
      </c>
      <c r="B332" s="127">
        <v>198</v>
      </c>
      <c r="C332" s="131" t="s">
        <v>114</v>
      </c>
      <c r="D332" s="149" t="s">
        <v>666</v>
      </c>
      <c r="E332" s="170">
        <v>-370</v>
      </c>
      <c r="F332" s="190"/>
      <c r="G332" s="168"/>
      <c r="J332" s="129"/>
    </row>
    <row r="333" spans="1:10" s="110" customFormat="1" ht="12.75">
      <c r="A333" s="164">
        <v>40382</v>
      </c>
      <c r="B333" s="127">
        <v>199</v>
      </c>
      <c r="C333" s="131" t="s">
        <v>114</v>
      </c>
      <c r="D333" s="149" t="s">
        <v>659</v>
      </c>
      <c r="E333" s="170">
        <v>-5700</v>
      </c>
      <c r="F333" s="190"/>
      <c r="G333" s="168"/>
      <c r="J333" s="129"/>
    </row>
    <row r="334" spans="1:10" s="110" customFormat="1" ht="12.75">
      <c r="A334" s="164">
        <v>40382</v>
      </c>
      <c r="B334" s="127">
        <v>199</v>
      </c>
      <c r="C334" s="131" t="s">
        <v>114</v>
      </c>
      <c r="D334" s="149" t="s">
        <v>662</v>
      </c>
      <c r="E334" s="170">
        <v>-9360</v>
      </c>
      <c r="F334" s="190"/>
      <c r="G334" s="168"/>
      <c r="J334" s="129"/>
    </row>
    <row r="335" spans="1:10" s="110" customFormat="1" ht="12.75">
      <c r="A335" s="164">
        <v>40382</v>
      </c>
      <c r="B335" s="127">
        <v>199</v>
      </c>
      <c r="C335" s="131" t="s">
        <v>114</v>
      </c>
      <c r="D335" s="149" t="s">
        <v>672</v>
      </c>
      <c r="E335" s="170">
        <v>-3200</v>
      </c>
      <c r="F335" s="190"/>
      <c r="G335" s="168"/>
      <c r="J335" s="129"/>
    </row>
    <row r="336" spans="1:10" s="110" customFormat="1" ht="12.75">
      <c r="A336" s="164">
        <v>40389</v>
      </c>
      <c r="B336" s="127">
        <v>200</v>
      </c>
      <c r="C336" s="131" t="s">
        <v>114</v>
      </c>
      <c r="D336" s="149" t="s">
        <v>680</v>
      </c>
      <c r="E336" s="170">
        <v>-3000</v>
      </c>
      <c r="F336" s="190"/>
      <c r="G336" s="168"/>
      <c r="J336" s="129"/>
    </row>
    <row r="337" spans="1:10" s="110" customFormat="1" ht="12.75">
      <c r="A337" s="164">
        <v>40389</v>
      </c>
      <c r="B337" s="127">
        <v>200</v>
      </c>
      <c r="C337" s="131" t="s">
        <v>114</v>
      </c>
      <c r="D337" s="149" t="s">
        <v>681</v>
      </c>
      <c r="E337" s="170">
        <v>-3125</v>
      </c>
      <c r="F337" s="190"/>
      <c r="G337" s="168"/>
      <c r="J337" s="129"/>
    </row>
    <row r="338" spans="1:10" s="110" customFormat="1" ht="12.75">
      <c r="A338" s="164">
        <v>40389</v>
      </c>
      <c r="B338" s="127">
        <v>200</v>
      </c>
      <c r="C338" s="131" t="s">
        <v>114</v>
      </c>
      <c r="D338" s="149" t="s">
        <v>682</v>
      </c>
      <c r="E338" s="170">
        <v>-90</v>
      </c>
      <c r="F338" s="190"/>
      <c r="G338" s="168"/>
      <c r="J338" s="129"/>
    </row>
    <row r="339" spans="1:10" s="110" customFormat="1" ht="12.75">
      <c r="A339" s="164">
        <v>40392</v>
      </c>
      <c r="B339" s="127">
        <v>202</v>
      </c>
      <c r="C339" s="131" t="s">
        <v>114</v>
      </c>
      <c r="D339" s="149" t="s">
        <v>686</v>
      </c>
      <c r="E339" s="170">
        <v>-560</v>
      </c>
      <c r="F339" s="190"/>
      <c r="G339" s="168"/>
      <c r="J339" s="129"/>
    </row>
    <row r="340" spans="1:10" s="110" customFormat="1" ht="12.75">
      <c r="A340" s="164">
        <v>40392</v>
      </c>
      <c r="B340" s="127">
        <v>202</v>
      </c>
      <c r="C340" s="131" t="s">
        <v>114</v>
      </c>
      <c r="D340" s="149" t="s">
        <v>687</v>
      </c>
      <c r="E340" s="170">
        <v>-840</v>
      </c>
      <c r="F340" s="190"/>
      <c r="G340" s="168"/>
      <c r="J340" s="129"/>
    </row>
    <row r="341" spans="1:10" s="110" customFormat="1" ht="12.75">
      <c r="A341" s="164">
        <v>40392</v>
      </c>
      <c r="B341" s="127">
        <v>202</v>
      </c>
      <c r="C341" s="131" t="s">
        <v>114</v>
      </c>
      <c r="D341" s="149" t="s">
        <v>688</v>
      </c>
      <c r="E341" s="170">
        <v>-840</v>
      </c>
      <c r="F341" s="190"/>
      <c r="G341" s="168"/>
      <c r="J341" s="129"/>
    </row>
    <row r="342" spans="1:10" s="110" customFormat="1" ht="12.75">
      <c r="A342" s="164">
        <v>40399</v>
      </c>
      <c r="B342" s="127">
        <v>203</v>
      </c>
      <c r="C342" s="131" t="s">
        <v>114</v>
      </c>
      <c r="D342" s="149" t="s">
        <v>692</v>
      </c>
      <c r="E342" s="170">
        <v>-1840</v>
      </c>
      <c r="F342" s="190"/>
      <c r="G342" s="168"/>
      <c r="J342" s="129"/>
    </row>
    <row r="343" spans="1:10" s="110" customFormat="1" ht="12.75">
      <c r="A343" s="164">
        <v>40399</v>
      </c>
      <c r="B343" s="127">
        <v>204</v>
      </c>
      <c r="C343" s="131" t="s">
        <v>114</v>
      </c>
      <c r="D343" s="149" t="s">
        <v>694</v>
      </c>
      <c r="E343" s="170">
        <v>-290</v>
      </c>
      <c r="F343" s="190"/>
      <c r="G343" s="168"/>
      <c r="J343" s="129"/>
    </row>
    <row r="344" spans="1:10" s="110" customFormat="1" ht="12.75">
      <c r="A344" s="164">
        <v>40400</v>
      </c>
      <c r="B344" s="127">
        <v>207</v>
      </c>
      <c r="C344" s="131" t="s">
        <v>114</v>
      </c>
      <c r="D344" s="149" t="s">
        <v>698</v>
      </c>
      <c r="E344" s="170">
        <v>-3920</v>
      </c>
      <c r="F344" s="190"/>
      <c r="G344" s="168"/>
      <c r="J344" s="129"/>
    </row>
    <row r="345" spans="1:10" s="110" customFormat="1" ht="12.75">
      <c r="A345" s="164">
        <v>40402</v>
      </c>
      <c r="B345" s="127">
        <v>208</v>
      </c>
      <c r="C345" s="131" t="s">
        <v>114</v>
      </c>
      <c r="D345" s="149" t="s">
        <v>699</v>
      </c>
      <c r="E345" s="170">
        <v>-60</v>
      </c>
      <c r="F345" s="190"/>
      <c r="G345" s="168"/>
      <c r="J345" s="129"/>
    </row>
    <row r="346" spans="1:10" s="110" customFormat="1" ht="12.75">
      <c r="A346" s="164">
        <v>40406</v>
      </c>
      <c r="B346" s="127">
        <v>210</v>
      </c>
      <c r="C346" s="131" t="s">
        <v>114</v>
      </c>
      <c r="D346" s="149" t="s">
        <v>706</v>
      </c>
      <c r="E346" s="170">
        <v>-2330</v>
      </c>
      <c r="F346" s="190"/>
      <c r="G346" s="168"/>
      <c r="J346" s="129"/>
    </row>
    <row r="347" spans="1:10" s="110" customFormat="1" ht="12.75">
      <c r="A347" s="164">
        <v>40406</v>
      </c>
      <c r="B347" s="127">
        <v>211</v>
      </c>
      <c r="C347" s="131" t="s">
        <v>114</v>
      </c>
      <c r="D347" s="149" t="s">
        <v>707</v>
      </c>
      <c r="E347" s="170">
        <v>-1220</v>
      </c>
      <c r="F347" s="190"/>
      <c r="G347" s="168"/>
      <c r="J347" s="129"/>
    </row>
    <row r="348" spans="1:10" s="110" customFormat="1" ht="12.75">
      <c r="A348" s="164">
        <v>40410</v>
      </c>
      <c r="B348" s="127">
        <v>225</v>
      </c>
      <c r="C348" s="131" t="s">
        <v>114</v>
      </c>
      <c r="D348" s="149" t="s">
        <v>724</v>
      </c>
      <c r="E348" s="170">
        <v>-1910</v>
      </c>
      <c r="F348" s="190"/>
      <c r="G348" s="168"/>
      <c r="J348" s="129"/>
    </row>
    <row r="349" spans="1:10" s="110" customFormat="1" ht="12.75">
      <c r="A349" s="164">
        <v>40413</v>
      </c>
      <c r="B349" s="127">
        <v>233</v>
      </c>
      <c r="C349" s="131" t="s">
        <v>114</v>
      </c>
      <c r="D349" s="149" t="s">
        <v>734</v>
      </c>
      <c r="E349" s="170">
        <v>-250</v>
      </c>
      <c r="F349" s="190"/>
      <c r="G349" s="168"/>
      <c r="J349" s="129"/>
    </row>
    <row r="350" spans="1:10" s="110" customFormat="1" ht="12.75">
      <c r="A350" s="164">
        <v>40413</v>
      </c>
      <c r="B350" s="127">
        <v>233</v>
      </c>
      <c r="C350" s="131" t="s">
        <v>114</v>
      </c>
      <c r="D350" s="149" t="s">
        <v>735</v>
      </c>
      <c r="E350" s="170">
        <v>-2530</v>
      </c>
      <c r="F350" s="190"/>
      <c r="G350" s="168"/>
      <c r="J350" s="129"/>
    </row>
    <row r="351" spans="1:10" s="110" customFormat="1" ht="12.75">
      <c r="A351" s="164">
        <v>40427</v>
      </c>
      <c r="B351" s="127">
        <v>266</v>
      </c>
      <c r="C351" s="131" t="s">
        <v>114</v>
      </c>
      <c r="D351" s="149" t="s">
        <v>746</v>
      </c>
      <c r="E351" s="170">
        <v>-2920</v>
      </c>
      <c r="F351" s="190"/>
      <c r="G351" s="168"/>
      <c r="J351" s="129"/>
    </row>
    <row r="352" spans="1:10" s="110" customFormat="1" ht="12.75">
      <c r="A352" s="164">
        <v>40434</v>
      </c>
      <c r="B352" s="127">
        <v>278</v>
      </c>
      <c r="C352" s="131" t="s">
        <v>114</v>
      </c>
      <c r="D352" s="149" t="s">
        <v>795</v>
      </c>
      <c r="E352" s="170">
        <v>-270</v>
      </c>
      <c r="F352" s="190"/>
      <c r="G352" s="168"/>
      <c r="J352" s="129"/>
    </row>
    <row r="353" spans="1:10" s="110" customFormat="1" ht="12.75">
      <c r="A353" s="164">
        <v>40434</v>
      </c>
      <c r="B353" s="127">
        <v>279</v>
      </c>
      <c r="C353" s="131" t="s">
        <v>114</v>
      </c>
      <c r="D353" s="149" t="s">
        <v>794</v>
      </c>
      <c r="E353" s="170">
        <v>-850</v>
      </c>
      <c r="F353" s="190"/>
      <c r="G353" s="168"/>
      <c r="J353" s="129"/>
    </row>
    <row r="354" spans="1:10" s="110" customFormat="1" ht="12.75">
      <c r="A354" s="164">
        <v>40435</v>
      </c>
      <c r="B354" s="127">
        <v>281</v>
      </c>
      <c r="C354" s="131" t="s">
        <v>114</v>
      </c>
      <c r="D354" s="149" t="s">
        <v>808</v>
      </c>
      <c r="E354" s="170">
        <v>-2064.48</v>
      </c>
      <c r="F354" s="190"/>
      <c r="G354" s="168"/>
      <c r="J354" s="129"/>
    </row>
    <row r="355" spans="1:10" s="110" customFormat="1" ht="12.75">
      <c r="A355" s="164">
        <v>40443</v>
      </c>
      <c r="B355" s="127">
        <v>304</v>
      </c>
      <c r="C355" s="131" t="s">
        <v>114</v>
      </c>
      <c r="D355" s="149" t="s">
        <v>800</v>
      </c>
      <c r="E355" s="170">
        <v>-445</v>
      </c>
      <c r="F355" s="190"/>
      <c r="G355" s="168"/>
      <c r="J355" s="129"/>
    </row>
    <row r="356" spans="1:10" s="110" customFormat="1" ht="12.75">
      <c r="A356" s="164">
        <v>40443</v>
      </c>
      <c r="B356" s="127">
        <v>305</v>
      </c>
      <c r="C356" s="131" t="s">
        <v>114</v>
      </c>
      <c r="D356" s="149" t="s">
        <v>801</v>
      </c>
      <c r="E356" s="170">
        <v>-2720</v>
      </c>
      <c r="F356" s="190"/>
      <c r="G356" s="168"/>
      <c r="J356" s="129"/>
    </row>
    <row r="357" spans="1:10" s="110" customFormat="1" ht="12.75">
      <c r="A357" s="164">
        <v>40445</v>
      </c>
      <c r="B357" s="127">
        <v>310</v>
      </c>
      <c r="C357" s="131" t="s">
        <v>114</v>
      </c>
      <c r="D357" s="149" t="s">
        <v>830</v>
      </c>
      <c r="E357" s="170">
        <v>-100</v>
      </c>
      <c r="F357" s="190"/>
      <c r="G357" s="168"/>
      <c r="J357" s="129"/>
    </row>
    <row r="358" spans="1:10" s="110" customFormat="1" ht="12.75">
      <c r="A358" s="164">
        <v>40448</v>
      </c>
      <c r="B358" s="127">
        <v>312</v>
      </c>
      <c r="C358" s="131" t="s">
        <v>114</v>
      </c>
      <c r="D358" s="149" t="s">
        <v>821</v>
      </c>
      <c r="E358" s="170">
        <v>-650.82</v>
      </c>
      <c r="F358" s="190"/>
      <c r="G358" s="168"/>
      <c r="J358" s="129"/>
    </row>
    <row r="359" spans="1:10" s="110" customFormat="1" ht="12.75">
      <c r="A359" s="164">
        <v>40455</v>
      </c>
      <c r="B359" s="127">
        <v>320</v>
      </c>
      <c r="C359" s="131" t="s">
        <v>114</v>
      </c>
      <c r="D359" s="149" t="s">
        <v>867</v>
      </c>
      <c r="E359" s="170">
        <v>-60</v>
      </c>
      <c r="F359" s="190"/>
      <c r="G359" s="168"/>
      <c r="J359" s="129"/>
    </row>
    <row r="360" spans="1:10" s="110" customFormat="1" ht="12.75">
      <c r="A360" s="164">
        <v>40455</v>
      </c>
      <c r="B360" s="127">
        <v>321</v>
      </c>
      <c r="C360" s="131" t="s">
        <v>114</v>
      </c>
      <c r="D360" s="149" t="s">
        <v>846</v>
      </c>
      <c r="E360" s="170">
        <v>-1890</v>
      </c>
      <c r="F360" s="190"/>
      <c r="G360" s="168"/>
      <c r="J360" s="129"/>
    </row>
    <row r="361" spans="1:10" s="110" customFormat="1" ht="12.75">
      <c r="A361" s="164">
        <v>40455</v>
      </c>
      <c r="B361" s="127">
        <v>322</v>
      </c>
      <c r="C361" s="131" t="s">
        <v>114</v>
      </c>
      <c r="D361" s="149" t="s">
        <v>847</v>
      </c>
      <c r="E361" s="170">
        <v>-1350</v>
      </c>
      <c r="F361" s="190"/>
      <c r="G361" s="168"/>
      <c r="J361" s="129"/>
    </row>
    <row r="362" spans="1:10" s="110" customFormat="1" ht="12.75">
      <c r="A362" s="164">
        <v>40455</v>
      </c>
      <c r="B362" s="127">
        <v>323</v>
      </c>
      <c r="C362" s="131" t="s">
        <v>114</v>
      </c>
      <c r="D362" s="149" t="s">
        <v>834</v>
      </c>
      <c r="E362" s="170">
        <v>-8820</v>
      </c>
      <c r="F362" s="190"/>
      <c r="G362" s="168"/>
      <c r="J362" s="129"/>
    </row>
    <row r="363" spans="1:10" s="110" customFormat="1" ht="12.75">
      <c r="A363" s="164">
        <v>40455</v>
      </c>
      <c r="B363" s="127">
        <v>324</v>
      </c>
      <c r="C363" s="131" t="s">
        <v>114</v>
      </c>
      <c r="D363" s="149" t="s">
        <v>825</v>
      </c>
      <c r="E363" s="170">
        <v>-3240</v>
      </c>
      <c r="F363" s="190"/>
      <c r="G363" s="168"/>
      <c r="J363" s="129"/>
    </row>
    <row r="364" spans="1:10" s="110" customFormat="1" ht="12.75">
      <c r="A364" s="164">
        <v>40457</v>
      </c>
      <c r="B364" s="127">
        <v>326</v>
      </c>
      <c r="C364" s="131" t="s">
        <v>114</v>
      </c>
      <c r="D364" s="149" t="s">
        <v>854</v>
      </c>
      <c r="E364" s="170">
        <v>-630</v>
      </c>
      <c r="F364" s="190"/>
      <c r="G364" s="168"/>
      <c r="J364" s="129"/>
    </row>
    <row r="365" spans="1:10" s="110" customFormat="1" ht="12.75">
      <c r="A365" s="164">
        <v>40457</v>
      </c>
      <c r="B365" s="127">
        <v>326</v>
      </c>
      <c r="C365" s="131" t="s">
        <v>114</v>
      </c>
      <c r="D365" s="149" t="s">
        <v>856</v>
      </c>
      <c r="E365" s="170">
        <v>-100</v>
      </c>
      <c r="F365" s="190"/>
      <c r="G365" s="168"/>
      <c r="J365" s="129"/>
    </row>
    <row r="366" spans="1:10" s="110" customFormat="1" ht="12.75">
      <c r="A366" s="164">
        <v>40457</v>
      </c>
      <c r="B366" s="127">
        <v>328</v>
      </c>
      <c r="C366" s="131" t="s">
        <v>114</v>
      </c>
      <c r="D366" s="149" t="s">
        <v>870</v>
      </c>
      <c r="E366" s="170">
        <v>-10025</v>
      </c>
      <c r="F366" s="190"/>
      <c r="G366" s="168"/>
      <c r="J366" s="129"/>
    </row>
    <row r="367" spans="1:10" s="110" customFormat="1" ht="12.75">
      <c r="A367" s="164">
        <v>40459</v>
      </c>
      <c r="B367" s="127">
        <v>330</v>
      </c>
      <c r="C367" s="131" t="s">
        <v>114</v>
      </c>
      <c r="D367" s="149" t="s">
        <v>1042</v>
      </c>
      <c r="E367" s="170">
        <v>-1220</v>
      </c>
      <c r="F367" s="190"/>
      <c r="G367" s="168"/>
      <c r="J367" s="129"/>
    </row>
    <row r="368" spans="1:10" s="110" customFormat="1" ht="12.75">
      <c r="A368" s="164">
        <v>40466</v>
      </c>
      <c r="B368" s="127">
        <v>335</v>
      </c>
      <c r="C368" s="131" t="s">
        <v>114</v>
      </c>
      <c r="D368" s="149" t="s">
        <v>894</v>
      </c>
      <c r="E368" s="170">
        <f>-4610+1200</f>
        <v>-3410</v>
      </c>
      <c r="F368" s="190"/>
      <c r="G368" s="168"/>
      <c r="J368" s="129"/>
    </row>
    <row r="369" spans="1:10" s="110" customFormat="1" ht="12.75">
      <c r="A369" s="164">
        <v>40476</v>
      </c>
      <c r="B369" s="127">
        <v>346</v>
      </c>
      <c r="C369" s="131" t="s">
        <v>114</v>
      </c>
      <c r="D369" s="149" t="s">
        <v>923</v>
      </c>
      <c r="E369" s="170">
        <v>-810</v>
      </c>
      <c r="F369" s="190"/>
      <c r="G369" s="168"/>
      <c r="J369" s="129"/>
    </row>
    <row r="370" spans="1:10" s="110" customFormat="1" ht="12.75">
      <c r="A370" s="164">
        <v>40477</v>
      </c>
      <c r="B370" s="127">
        <v>350</v>
      </c>
      <c r="C370" s="131" t="s">
        <v>114</v>
      </c>
      <c r="D370" s="149" t="s">
        <v>922</v>
      </c>
      <c r="E370" s="170">
        <v>-1330</v>
      </c>
      <c r="F370" s="190"/>
      <c r="G370" s="168"/>
      <c r="J370" s="129"/>
    </row>
    <row r="371" spans="1:10" s="110" customFormat="1" ht="12.75">
      <c r="A371" s="164">
        <v>40477</v>
      </c>
      <c r="B371" s="127">
        <v>351</v>
      </c>
      <c r="C371" s="131" t="s">
        <v>114</v>
      </c>
      <c r="D371" s="149" t="s">
        <v>924</v>
      </c>
      <c r="E371" s="170">
        <v>-855</v>
      </c>
      <c r="F371" s="190"/>
      <c r="G371" s="168"/>
      <c r="J371" s="129"/>
    </row>
    <row r="372" spans="1:10" s="110" customFormat="1" ht="12.75">
      <c r="A372" s="164">
        <v>40485</v>
      </c>
      <c r="B372" s="127">
        <v>361</v>
      </c>
      <c r="C372" s="131" t="s">
        <v>114</v>
      </c>
      <c r="D372" s="149" t="s">
        <v>919</v>
      </c>
      <c r="E372" s="170">
        <v>-400</v>
      </c>
      <c r="F372" s="190"/>
      <c r="G372" s="168"/>
      <c r="J372" s="129"/>
    </row>
    <row r="373" spans="1:10" s="110" customFormat="1" ht="12.75">
      <c r="A373" s="164">
        <v>40490</v>
      </c>
      <c r="B373" s="127">
        <v>363</v>
      </c>
      <c r="C373" s="131" t="s">
        <v>114</v>
      </c>
      <c r="D373" s="149" t="s">
        <v>955</v>
      </c>
      <c r="E373" s="170">
        <v>-11220</v>
      </c>
      <c r="F373" s="190"/>
      <c r="G373" s="168"/>
      <c r="J373" s="129"/>
    </row>
    <row r="374" spans="1:10" s="110" customFormat="1" ht="12.75">
      <c r="A374" s="164">
        <v>40491</v>
      </c>
      <c r="B374" s="127">
        <v>364</v>
      </c>
      <c r="C374" s="131" t="s">
        <v>114</v>
      </c>
      <c r="D374" s="149" t="s">
        <v>918</v>
      </c>
      <c r="E374" s="170">
        <v>-200</v>
      </c>
      <c r="F374" s="190"/>
      <c r="G374" s="168"/>
      <c r="J374" s="129"/>
    </row>
    <row r="375" spans="1:10" s="110" customFormat="1" ht="12.75">
      <c r="A375" s="164">
        <v>40492</v>
      </c>
      <c r="B375" s="127">
        <v>365</v>
      </c>
      <c r="C375" s="131" t="s">
        <v>114</v>
      </c>
      <c r="D375" s="149" t="s">
        <v>958</v>
      </c>
      <c r="E375" s="170">
        <v>-110</v>
      </c>
      <c r="F375" s="190"/>
      <c r="G375" s="168"/>
      <c r="J375" s="129"/>
    </row>
    <row r="376" spans="1:10" s="110" customFormat="1" ht="12.75">
      <c r="A376" s="164">
        <v>40497</v>
      </c>
      <c r="B376" s="127">
        <v>371</v>
      </c>
      <c r="C376" s="131" t="s">
        <v>114</v>
      </c>
      <c r="D376" s="149" t="s">
        <v>949</v>
      </c>
      <c r="E376" s="170">
        <v>-970</v>
      </c>
      <c r="F376" s="190"/>
      <c r="G376" s="168"/>
      <c r="J376" s="129"/>
    </row>
    <row r="377" spans="1:10" s="110" customFormat="1" ht="12.75">
      <c r="A377" s="164">
        <v>40512</v>
      </c>
      <c r="B377" s="127">
        <v>400</v>
      </c>
      <c r="C377" s="131" t="s">
        <v>114</v>
      </c>
      <c r="D377" s="149" t="s">
        <v>972</v>
      </c>
      <c r="E377" s="170">
        <v>-300</v>
      </c>
      <c r="F377" s="190"/>
      <c r="G377" s="168"/>
      <c r="J377" s="129"/>
    </row>
    <row r="378" spans="1:10" s="110" customFormat="1" ht="12.75">
      <c r="A378" s="164">
        <v>40513</v>
      </c>
      <c r="B378" s="127">
        <v>402</v>
      </c>
      <c r="C378" s="131" t="s">
        <v>114</v>
      </c>
      <c r="D378" s="149" t="s">
        <v>978</v>
      </c>
      <c r="E378" s="170">
        <v>-230</v>
      </c>
      <c r="F378" s="190"/>
      <c r="G378" s="168"/>
      <c r="J378" s="129"/>
    </row>
    <row r="379" spans="1:10" s="110" customFormat="1" ht="12.75">
      <c r="A379" s="164">
        <v>40522</v>
      </c>
      <c r="B379" s="127">
        <v>411</v>
      </c>
      <c r="C379" s="131" t="s">
        <v>114</v>
      </c>
      <c r="D379" s="149" t="s">
        <v>986</v>
      </c>
      <c r="E379" s="170">
        <f>-400*649.5/740</f>
        <v>-351.0810810810811</v>
      </c>
      <c r="F379" s="190"/>
      <c r="G379" s="168"/>
      <c r="J379" s="129"/>
    </row>
    <row r="380" spans="1:10" s="110" customFormat="1" ht="12.75">
      <c r="A380" s="164">
        <v>40522</v>
      </c>
      <c r="B380" s="127">
        <v>411</v>
      </c>
      <c r="C380" s="131" t="s">
        <v>114</v>
      </c>
      <c r="D380" s="149" t="s">
        <v>985</v>
      </c>
      <c r="E380" s="170">
        <f>-340*649.5/740</f>
        <v>-298.4189189189189</v>
      </c>
      <c r="F380" s="190"/>
      <c r="G380" s="168"/>
      <c r="J380" s="129"/>
    </row>
    <row r="381" spans="1:10" s="110" customFormat="1" ht="12.75">
      <c r="A381" s="164">
        <v>40522</v>
      </c>
      <c r="B381" s="127">
        <v>413</v>
      </c>
      <c r="C381" s="131" t="s">
        <v>114</v>
      </c>
      <c r="D381" s="149" t="s">
        <v>1018</v>
      </c>
      <c r="E381" s="170">
        <v>-720</v>
      </c>
      <c r="F381" s="190"/>
      <c r="G381" s="168"/>
      <c r="J381" s="129"/>
    </row>
    <row r="382" spans="1:10" s="110" customFormat="1" ht="12.75">
      <c r="A382" s="164">
        <v>40526</v>
      </c>
      <c r="B382" s="127">
        <v>420</v>
      </c>
      <c r="C382" s="131" t="s">
        <v>114</v>
      </c>
      <c r="D382" s="149" t="s">
        <v>1019</v>
      </c>
      <c r="E382" s="170">
        <v>-130</v>
      </c>
      <c r="F382" s="190"/>
      <c r="G382" s="168"/>
      <c r="J382" s="129"/>
    </row>
    <row r="383" spans="1:10" s="110" customFormat="1" ht="12.75">
      <c r="A383" s="164">
        <v>40526</v>
      </c>
      <c r="B383" s="127">
        <v>421</v>
      </c>
      <c r="C383" s="131" t="s">
        <v>114</v>
      </c>
      <c r="D383" s="149" t="s">
        <v>1021</v>
      </c>
      <c r="E383" s="170">
        <v>-527</v>
      </c>
      <c r="F383" s="190"/>
      <c r="G383" s="168"/>
      <c r="J383" s="129"/>
    </row>
    <row r="384" spans="1:10" s="110" customFormat="1" ht="12.75">
      <c r="A384" s="164">
        <v>40532</v>
      </c>
      <c r="B384" s="127">
        <v>440</v>
      </c>
      <c r="C384" s="131" t="s">
        <v>114</v>
      </c>
      <c r="D384" s="149" t="s">
        <v>1038</v>
      </c>
      <c r="E384" s="170">
        <v>-180</v>
      </c>
      <c r="F384" s="190"/>
      <c r="G384" s="168"/>
      <c r="J384" s="129"/>
    </row>
    <row r="385" spans="1:10" s="110" customFormat="1" ht="12.75">
      <c r="A385" s="164">
        <v>40532</v>
      </c>
      <c r="B385" s="127">
        <v>441</v>
      </c>
      <c r="C385" s="131" t="s">
        <v>114</v>
      </c>
      <c r="D385" s="149" t="s">
        <v>1039</v>
      </c>
      <c r="E385" s="170">
        <v>-60</v>
      </c>
      <c r="F385" s="190"/>
      <c r="G385" s="168"/>
      <c r="J385" s="129"/>
    </row>
    <row r="386" spans="1:10" s="110" customFormat="1" ht="12.75">
      <c r="A386" s="164">
        <v>40533</v>
      </c>
      <c r="B386" s="127">
        <v>442</v>
      </c>
      <c r="C386" s="131" t="s">
        <v>114</v>
      </c>
      <c r="D386" s="149" t="s">
        <v>1045</v>
      </c>
      <c r="E386" s="170">
        <v>-2745</v>
      </c>
      <c r="F386" s="190"/>
      <c r="G386" s="168"/>
      <c r="J386" s="129"/>
    </row>
    <row r="387" spans="1:10" s="110" customFormat="1" ht="12.75">
      <c r="A387" s="164">
        <v>40543</v>
      </c>
      <c r="B387" s="127">
        <v>468</v>
      </c>
      <c r="C387" s="131" t="s">
        <v>114</v>
      </c>
      <c r="D387" s="149" t="s">
        <v>1064</v>
      </c>
      <c r="E387" s="170">
        <v>-100</v>
      </c>
      <c r="F387" s="190"/>
      <c r="G387" s="168"/>
      <c r="J387" s="129"/>
    </row>
    <row r="388" spans="1:10" s="110" customFormat="1" ht="12.75">
      <c r="A388" s="164">
        <v>40543</v>
      </c>
      <c r="B388" s="127">
        <v>471</v>
      </c>
      <c r="C388" s="188" t="s">
        <v>114</v>
      </c>
      <c r="D388" s="149" t="s">
        <v>1070</v>
      </c>
      <c r="E388" s="170">
        <v>385</v>
      </c>
      <c r="F388" s="190"/>
      <c r="G388" s="168"/>
      <c r="H388" s="244"/>
      <c r="J388" s="129"/>
    </row>
    <row r="389" spans="1:10" s="110" customFormat="1" ht="12.75">
      <c r="A389" s="164"/>
      <c r="B389" s="127"/>
      <c r="C389" s="131"/>
      <c r="D389" s="149"/>
      <c r="E389" s="170"/>
      <c r="F389" s="190"/>
      <c r="G389" s="168"/>
      <c r="J389" s="129"/>
    </row>
    <row r="390" spans="1:7" ht="12.75">
      <c r="A390" s="74"/>
      <c r="E390" s="73">
        <f>SUM(E289:E389)</f>
        <v>-200456.78</v>
      </c>
      <c r="F390" s="73">
        <f>SUM(F289:F377)</f>
        <v>0</v>
      </c>
      <c r="G390" s="73">
        <f>SUM(E390:F390)</f>
        <v>-200456.78</v>
      </c>
    </row>
    <row r="391" ht="12.75">
      <c r="A391" s="74"/>
    </row>
    <row r="392" spans="1:9" s="110" customFormat="1" ht="13.5" customHeight="1">
      <c r="A392" s="164">
        <v>40204</v>
      </c>
      <c r="B392" s="127">
        <v>5</v>
      </c>
      <c r="C392" s="131" t="s">
        <v>115</v>
      </c>
      <c r="D392" s="110" t="s">
        <v>309</v>
      </c>
      <c r="E392" s="170">
        <v>-680</v>
      </c>
      <c r="F392" s="190"/>
      <c r="G392" s="168"/>
      <c r="H392" s="2"/>
      <c r="I392" s="2"/>
    </row>
    <row r="393" spans="1:9" s="110" customFormat="1" ht="13.5" customHeight="1">
      <c r="A393" s="164">
        <v>40210</v>
      </c>
      <c r="B393" s="127">
        <v>10</v>
      </c>
      <c r="C393" s="131" t="s">
        <v>115</v>
      </c>
      <c r="D393" s="110" t="s">
        <v>323</v>
      </c>
      <c r="E393" s="170">
        <v>-2970</v>
      </c>
      <c r="F393" s="190"/>
      <c r="G393" s="168"/>
      <c r="H393" s="2"/>
      <c r="I393" s="2"/>
    </row>
    <row r="394" spans="1:9" s="110" customFormat="1" ht="13.5" customHeight="1">
      <c r="A394" s="164">
        <v>40235</v>
      </c>
      <c r="B394" s="127">
        <v>19</v>
      </c>
      <c r="C394" s="131" t="s">
        <v>115</v>
      </c>
      <c r="D394" s="110" t="s">
        <v>336</v>
      </c>
      <c r="E394" s="170">
        <v>-31318.76</v>
      </c>
      <c r="F394" s="190"/>
      <c r="G394" s="168"/>
      <c r="H394" s="2"/>
      <c r="I394" s="2"/>
    </row>
    <row r="395" spans="1:9" s="110" customFormat="1" ht="13.5" customHeight="1">
      <c r="A395" s="164">
        <v>40241</v>
      </c>
      <c r="B395" s="127">
        <v>26</v>
      </c>
      <c r="C395" s="131" t="s">
        <v>115</v>
      </c>
      <c r="D395" s="149" t="s">
        <v>349</v>
      </c>
      <c r="E395" s="170">
        <v>-1621.87</v>
      </c>
      <c r="F395" s="190"/>
      <c r="G395" s="168"/>
      <c r="H395" s="2"/>
      <c r="I395" s="2"/>
    </row>
    <row r="396" spans="1:13" ht="12.75">
      <c r="A396" s="164">
        <v>40291</v>
      </c>
      <c r="B396" s="1">
        <v>44</v>
      </c>
      <c r="C396" s="1" t="s">
        <v>115</v>
      </c>
      <c r="D396" s="126" t="s">
        <v>388</v>
      </c>
      <c r="E396" s="5">
        <v>-5691.5</v>
      </c>
      <c r="G396" s="5"/>
      <c r="H396" s="2"/>
      <c r="I396" s="110"/>
      <c r="J396" s="129"/>
      <c r="K396" s="128"/>
      <c r="L396" s="110"/>
      <c r="M396" s="169"/>
    </row>
    <row r="397" spans="1:13" ht="12.75">
      <c r="A397" s="164">
        <v>40298</v>
      </c>
      <c r="B397" s="1">
        <v>65</v>
      </c>
      <c r="C397" s="1" t="s">
        <v>115</v>
      </c>
      <c r="D397" s="126" t="s">
        <v>425</v>
      </c>
      <c r="E397" s="5">
        <v>-755</v>
      </c>
      <c r="G397" s="5"/>
      <c r="H397" s="235"/>
      <c r="I397" s="235"/>
      <c r="J397" s="129"/>
      <c r="K397" s="128"/>
      <c r="L397" s="110"/>
      <c r="M397" s="169"/>
    </row>
    <row r="398" spans="1:13" ht="12.75">
      <c r="A398" s="164">
        <v>40298</v>
      </c>
      <c r="B398" s="1">
        <v>66</v>
      </c>
      <c r="C398" s="1" t="s">
        <v>115</v>
      </c>
      <c r="D398" s="126" t="s">
        <v>426</v>
      </c>
      <c r="E398" s="5">
        <v>-15893</v>
      </c>
      <c r="G398" s="5"/>
      <c r="H398" s="235"/>
      <c r="I398" s="235"/>
      <c r="J398" s="129"/>
      <c r="K398" s="128"/>
      <c r="L398" s="110"/>
      <c r="M398" s="169"/>
    </row>
    <row r="399" spans="1:13" ht="12.75">
      <c r="A399" s="164">
        <v>40310</v>
      </c>
      <c r="B399" s="1">
        <v>84</v>
      </c>
      <c r="C399" s="1" t="s">
        <v>115</v>
      </c>
      <c r="D399" s="126" t="s">
        <v>441</v>
      </c>
      <c r="E399" s="5">
        <v>-2907.65</v>
      </c>
      <c r="G399" s="5"/>
      <c r="H399" s="235"/>
      <c r="I399" s="235"/>
      <c r="J399" s="129"/>
      <c r="K399" s="128"/>
      <c r="L399" s="110"/>
      <c r="M399" s="169"/>
    </row>
    <row r="400" spans="1:13" ht="12.75">
      <c r="A400" s="164">
        <v>40310</v>
      </c>
      <c r="B400" s="1">
        <v>85</v>
      </c>
      <c r="C400" s="1" t="s">
        <v>115</v>
      </c>
      <c r="D400" s="126" t="s">
        <v>443</v>
      </c>
      <c r="E400" s="5">
        <v>-560.15</v>
      </c>
      <c r="G400" s="5"/>
      <c r="H400" s="235"/>
      <c r="I400" s="235"/>
      <c r="J400" s="129"/>
      <c r="K400" s="128"/>
      <c r="L400" s="110"/>
      <c r="M400" s="169"/>
    </row>
    <row r="401" spans="1:13" ht="12.75">
      <c r="A401" s="164">
        <v>40310</v>
      </c>
      <c r="B401" s="1">
        <v>86</v>
      </c>
      <c r="C401" s="1" t="s">
        <v>115</v>
      </c>
      <c r="D401" s="126" t="s">
        <v>444</v>
      </c>
      <c r="E401" s="5">
        <v>-1090</v>
      </c>
      <c r="G401" s="5"/>
      <c r="H401" s="235"/>
      <c r="I401" s="235"/>
      <c r="J401" s="129"/>
      <c r="K401" s="128"/>
      <c r="L401" s="110"/>
      <c r="M401" s="169"/>
    </row>
    <row r="402" spans="1:13" ht="12.75">
      <c r="A402" s="164">
        <v>40316</v>
      </c>
      <c r="B402" s="1">
        <v>88</v>
      </c>
      <c r="C402" s="1" t="s">
        <v>115</v>
      </c>
      <c r="D402" s="126" t="s">
        <v>447</v>
      </c>
      <c r="E402" s="5">
        <v>-1440.15</v>
      </c>
      <c r="G402" s="5"/>
      <c r="H402" s="235"/>
      <c r="I402" s="235"/>
      <c r="J402" s="129"/>
      <c r="K402" s="128"/>
      <c r="L402" s="110"/>
      <c r="M402" s="169"/>
    </row>
    <row r="403" spans="1:13" ht="12.75">
      <c r="A403" s="164">
        <v>40317</v>
      </c>
      <c r="B403" s="1">
        <v>93</v>
      </c>
      <c r="C403" s="1" t="s">
        <v>115</v>
      </c>
      <c r="D403" s="126" t="s">
        <v>452</v>
      </c>
      <c r="E403" s="5">
        <v>-2331</v>
      </c>
      <c r="G403" s="5"/>
      <c r="H403" s="235"/>
      <c r="I403" s="235"/>
      <c r="J403" s="129"/>
      <c r="K403" s="128"/>
      <c r="L403" s="110"/>
      <c r="M403" s="169"/>
    </row>
    <row r="404" spans="1:9" s="110" customFormat="1" ht="13.5" customHeight="1">
      <c r="A404" s="184">
        <v>40323</v>
      </c>
      <c r="B404" s="127">
        <v>108</v>
      </c>
      <c r="C404" s="131" t="s">
        <v>115</v>
      </c>
      <c r="D404" s="149" t="s">
        <v>469</v>
      </c>
      <c r="E404" s="170">
        <v>-17327</v>
      </c>
      <c r="F404" s="190"/>
      <c r="G404" s="168"/>
      <c r="H404" s="2"/>
      <c r="I404" s="2"/>
    </row>
    <row r="405" spans="1:9" s="110" customFormat="1" ht="13.5" customHeight="1">
      <c r="A405" s="164">
        <v>40326</v>
      </c>
      <c r="B405" s="127">
        <v>115</v>
      </c>
      <c r="C405" s="131" t="s">
        <v>115</v>
      </c>
      <c r="D405" s="149" t="s">
        <v>501</v>
      </c>
      <c r="E405" s="170">
        <f>-270*3</f>
        <v>-810</v>
      </c>
      <c r="F405" s="190"/>
      <c r="G405" s="168"/>
      <c r="H405" s="2"/>
      <c r="I405" s="2"/>
    </row>
    <row r="406" spans="1:9" s="110" customFormat="1" ht="13.5" customHeight="1">
      <c r="A406" s="184">
        <v>40329</v>
      </c>
      <c r="B406" s="127">
        <v>116</v>
      </c>
      <c r="C406" s="131" t="s">
        <v>115</v>
      </c>
      <c r="D406" s="149" t="s">
        <v>506</v>
      </c>
      <c r="E406" s="170">
        <v>-380</v>
      </c>
      <c r="F406" s="190"/>
      <c r="G406" s="168"/>
      <c r="H406" s="243"/>
      <c r="I406" s="243"/>
    </row>
    <row r="407" spans="1:13" ht="12.75">
      <c r="A407" s="164">
        <v>40339</v>
      </c>
      <c r="B407" s="1">
        <v>143</v>
      </c>
      <c r="C407" s="1" t="s">
        <v>115</v>
      </c>
      <c r="D407" s="126" t="s">
        <v>426</v>
      </c>
      <c r="E407" s="5">
        <v>-16359</v>
      </c>
      <c r="G407" s="5"/>
      <c r="H407" s="235"/>
      <c r="I407" s="235"/>
      <c r="J407" s="129"/>
      <c r="K407" s="128"/>
      <c r="L407" s="110"/>
      <c r="M407" s="169"/>
    </row>
    <row r="408" spans="1:13" ht="12.75">
      <c r="A408" s="164">
        <v>40360</v>
      </c>
      <c r="B408" s="1">
        <v>173</v>
      </c>
      <c r="C408" s="1" t="s">
        <v>115</v>
      </c>
      <c r="D408" s="126" t="s">
        <v>628</v>
      </c>
      <c r="E408" s="171">
        <v>-3428.81</v>
      </c>
      <c r="G408" s="5"/>
      <c r="H408" s="235"/>
      <c r="I408" s="235"/>
      <c r="J408" s="129"/>
      <c r="K408" s="128"/>
      <c r="L408" s="110"/>
      <c r="M408" s="169"/>
    </row>
    <row r="409" spans="1:10" s="110" customFormat="1" ht="12.75">
      <c r="A409" s="164">
        <v>40382</v>
      </c>
      <c r="B409" s="127">
        <v>199</v>
      </c>
      <c r="C409" s="131" t="s">
        <v>115</v>
      </c>
      <c r="D409" s="149" t="s">
        <v>670</v>
      </c>
      <c r="E409" s="170">
        <v>-3570</v>
      </c>
      <c r="F409" s="190"/>
      <c r="G409" s="168"/>
      <c r="J409" s="129"/>
    </row>
    <row r="410" spans="1:10" s="110" customFormat="1" ht="12.75">
      <c r="A410" s="164">
        <v>40382</v>
      </c>
      <c r="B410" s="127">
        <v>199</v>
      </c>
      <c r="C410" s="131" t="s">
        <v>115</v>
      </c>
      <c r="D410" s="149" t="s">
        <v>671</v>
      </c>
      <c r="E410" s="170">
        <v>-1040</v>
      </c>
      <c r="F410" s="190"/>
      <c r="G410" s="168"/>
      <c r="J410" s="129"/>
    </row>
    <row r="411" spans="1:9" s="110" customFormat="1" ht="13.5" customHeight="1">
      <c r="A411" s="164">
        <v>40417</v>
      </c>
      <c r="B411" s="127">
        <v>249</v>
      </c>
      <c r="C411" s="131" t="s">
        <v>115</v>
      </c>
      <c r="D411" s="110" t="s">
        <v>758</v>
      </c>
      <c r="E411" s="170">
        <v>-2630</v>
      </c>
      <c r="F411" s="190"/>
      <c r="G411" s="168"/>
      <c r="H411" s="2"/>
      <c r="I411" s="2"/>
    </row>
    <row r="412" spans="1:10" s="110" customFormat="1" ht="12.75">
      <c r="A412" s="164">
        <v>40445</v>
      </c>
      <c r="B412" s="127">
        <v>310</v>
      </c>
      <c r="C412" s="131" t="s">
        <v>115</v>
      </c>
      <c r="D412" s="149" t="s">
        <v>829</v>
      </c>
      <c r="E412" s="170">
        <v>-4080</v>
      </c>
      <c r="F412" s="190"/>
      <c r="G412" s="168"/>
      <c r="J412" s="129"/>
    </row>
    <row r="413" spans="1:10" s="110" customFormat="1" ht="12.75">
      <c r="A413" s="164">
        <v>40466</v>
      </c>
      <c r="B413" s="127">
        <v>335</v>
      </c>
      <c r="C413" s="188" t="s">
        <v>115</v>
      </c>
      <c r="D413" s="149" t="s">
        <v>895</v>
      </c>
      <c r="E413" s="170">
        <f>-6300-1200</f>
        <v>-7500</v>
      </c>
      <c r="F413" s="190"/>
      <c r="G413" s="168"/>
      <c r="J413" s="129"/>
    </row>
    <row r="414" spans="1:10" s="110" customFormat="1" ht="12.75">
      <c r="A414" s="164">
        <v>40472</v>
      </c>
      <c r="B414" s="127">
        <v>341</v>
      </c>
      <c r="C414" s="188" t="s">
        <v>115</v>
      </c>
      <c r="D414" s="149" t="s">
        <v>906</v>
      </c>
      <c r="E414" s="170">
        <v>-825</v>
      </c>
      <c r="F414" s="190"/>
      <c r="G414" s="168"/>
      <c r="H414" s="243"/>
      <c r="J414" s="129"/>
    </row>
    <row r="415" spans="1:10" s="110" customFormat="1" ht="12.75">
      <c r="A415" s="164">
        <v>40472</v>
      </c>
      <c r="B415" s="127">
        <v>342</v>
      </c>
      <c r="C415" s="188" t="s">
        <v>115</v>
      </c>
      <c r="D415" s="149" t="s">
        <v>908</v>
      </c>
      <c r="E415" s="170">
        <v>-1518.75</v>
      </c>
      <c r="F415" s="190"/>
      <c r="G415" s="168"/>
      <c r="H415" s="243"/>
      <c r="J415" s="129"/>
    </row>
    <row r="416" spans="1:10" s="110" customFormat="1" ht="12.75">
      <c r="A416" s="164">
        <v>40476</v>
      </c>
      <c r="B416" s="127">
        <v>345</v>
      </c>
      <c r="C416" s="188" t="s">
        <v>115</v>
      </c>
      <c r="D416" s="149" t="s">
        <v>939</v>
      </c>
      <c r="E416" s="170">
        <v>-1014.88</v>
      </c>
      <c r="F416" s="190"/>
      <c r="G416" s="168"/>
      <c r="H416" s="243"/>
      <c r="I416" s="2"/>
      <c r="J416" s="129"/>
    </row>
    <row r="417" spans="1:10" s="110" customFormat="1" ht="12.75">
      <c r="A417" s="184">
        <v>40511</v>
      </c>
      <c r="B417" s="127">
        <v>392</v>
      </c>
      <c r="C417" s="188" t="s">
        <v>115</v>
      </c>
      <c r="D417" s="149" t="s">
        <v>994</v>
      </c>
      <c r="E417" s="170">
        <v>-4658</v>
      </c>
      <c r="F417" s="190"/>
      <c r="G417" s="168"/>
      <c r="H417" s="243"/>
      <c r="I417" s="2"/>
      <c r="J417" s="129"/>
    </row>
    <row r="418" spans="1:10" s="110" customFormat="1" ht="12.75">
      <c r="A418" s="184">
        <v>40511</v>
      </c>
      <c r="B418" s="127">
        <v>393</v>
      </c>
      <c r="C418" s="188" t="s">
        <v>115</v>
      </c>
      <c r="D418" s="149" t="s">
        <v>995</v>
      </c>
      <c r="E418" s="170">
        <v>-1359</v>
      </c>
      <c r="F418" s="190"/>
      <c r="G418" s="168"/>
      <c r="H418" s="243"/>
      <c r="I418" s="2"/>
      <c r="J418" s="129"/>
    </row>
    <row r="419" spans="1:10" s="110" customFormat="1" ht="12.75">
      <c r="A419" s="184">
        <v>40518</v>
      </c>
      <c r="B419" s="127">
        <v>406</v>
      </c>
      <c r="C419" s="188" t="s">
        <v>115</v>
      </c>
      <c r="D419" s="149" t="s">
        <v>1013</v>
      </c>
      <c r="E419" s="170">
        <v>-811</v>
      </c>
      <c r="F419" s="190"/>
      <c r="G419" s="168"/>
      <c r="H419" s="244"/>
      <c r="I419" s="244"/>
      <c r="J419" s="129"/>
    </row>
    <row r="420" spans="1:11" ht="12.75">
      <c r="A420" s="74"/>
      <c r="C420" s="1"/>
      <c r="G420" s="5"/>
      <c r="H420" s="2"/>
      <c r="J420" s="9"/>
      <c r="K420" s="5"/>
    </row>
    <row r="421" spans="1:11" ht="12.75">
      <c r="A421" s="74"/>
      <c r="C421" s="1"/>
      <c r="E421" s="73">
        <f>SUM(E392:E420)</f>
        <v>-134570.52000000002</v>
      </c>
      <c r="F421" s="73">
        <f>SUM(F392:F420)</f>
        <v>0</v>
      </c>
      <c r="G421" s="73">
        <f>SUM(E421:F421)</f>
        <v>-134570.52000000002</v>
      </c>
      <c r="H421" s="2"/>
      <c r="J421" s="9"/>
      <c r="K421" s="5"/>
    </row>
    <row r="422" ht="12.75">
      <c r="A422" s="74"/>
    </row>
    <row r="423" spans="1:11" ht="12.75">
      <c r="A423" s="74">
        <v>40471</v>
      </c>
      <c r="B423" s="1">
        <v>339</v>
      </c>
      <c r="C423" s="1">
        <v>41</v>
      </c>
      <c r="D423" s="126" t="s">
        <v>917</v>
      </c>
      <c r="E423" s="5">
        <v>-1970</v>
      </c>
      <c r="G423" s="5"/>
      <c r="H423" s="2"/>
      <c r="J423" s="9"/>
      <c r="K423" s="5"/>
    </row>
    <row r="424" spans="1:11" ht="12.75">
      <c r="A424" s="164">
        <v>40480</v>
      </c>
      <c r="B424" s="1">
        <v>358</v>
      </c>
      <c r="C424" s="1">
        <v>41</v>
      </c>
      <c r="D424" s="126" t="s">
        <v>946</v>
      </c>
      <c r="E424" s="5">
        <v>-241</v>
      </c>
      <c r="G424" s="5"/>
      <c r="H424" s="2"/>
      <c r="J424" s="9"/>
      <c r="K424" s="5"/>
    </row>
    <row r="425" ht="12.75">
      <c r="A425" s="74"/>
    </row>
    <row r="426" spans="1:7" ht="12.75">
      <c r="A426" s="74"/>
      <c r="E426" s="73">
        <f>SUM(E423:E425)</f>
        <v>-2211</v>
      </c>
      <c r="F426" s="73">
        <f>SUM(F423:F425)</f>
        <v>0</v>
      </c>
      <c r="G426" s="73">
        <f>SUM(E426:F426)</f>
        <v>-2211</v>
      </c>
    </row>
    <row r="427" ht="12.75">
      <c r="A427" s="164"/>
    </row>
    <row r="428" spans="1:9" s="110" customFormat="1" ht="13.5" customHeight="1">
      <c r="A428" s="74">
        <v>40210</v>
      </c>
      <c r="B428" s="127">
        <v>9</v>
      </c>
      <c r="C428" s="131" t="s">
        <v>226</v>
      </c>
      <c r="D428" s="110" t="s">
        <v>326</v>
      </c>
      <c r="E428" s="170">
        <v>-442.47</v>
      </c>
      <c r="F428" s="190"/>
      <c r="G428" s="168"/>
      <c r="H428" s="2"/>
      <c r="I428" s="2"/>
    </row>
    <row r="429" spans="1:9" s="110" customFormat="1" ht="13.5" customHeight="1">
      <c r="A429" s="164">
        <v>40241</v>
      </c>
      <c r="B429" s="127">
        <v>27</v>
      </c>
      <c r="C429" s="131" t="s">
        <v>226</v>
      </c>
      <c r="D429" s="149" t="s">
        <v>352</v>
      </c>
      <c r="E429" s="170">
        <v>-248</v>
      </c>
      <c r="F429" s="190"/>
      <c r="G429" s="168"/>
      <c r="H429" s="2"/>
      <c r="I429" s="2"/>
    </row>
    <row r="430" spans="1:9" s="110" customFormat="1" ht="13.5" customHeight="1">
      <c r="A430" s="164">
        <v>40241</v>
      </c>
      <c r="B430" s="127">
        <v>28</v>
      </c>
      <c r="C430" s="131" t="s">
        <v>226</v>
      </c>
      <c r="D430" s="149" t="s">
        <v>353</v>
      </c>
      <c r="E430" s="170">
        <v>-500</v>
      </c>
      <c r="F430" s="190"/>
      <c r="G430" s="168"/>
      <c r="H430" s="2"/>
      <c r="I430" s="2"/>
    </row>
    <row r="431" spans="1:9" s="110" customFormat="1" ht="13.5" customHeight="1">
      <c r="A431" s="164">
        <v>40291</v>
      </c>
      <c r="B431" s="127">
        <v>43</v>
      </c>
      <c r="C431" s="131" t="s">
        <v>226</v>
      </c>
      <c r="D431" s="149" t="s">
        <v>387</v>
      </c>
      <c r="E431" s="170">
        <v>-452</v>
      </c>
      <c r="F431" s="190"/>
      <c r="G431" s="168"/>
      <c r="H431" s="2"/>
      <c r="I431" s="2"/>
    </row>
    <row r="432" spans="1:9" s="110" customFormat="1" ht="13.5" customHeight="1">
      <c r="A432" s="164">
        <v>40326</v>
      </c>
      <c r="B432" s="127">
        <v>113</v>
      </c>
      <c r="C432" s="131" t="s">
        <v>226</v>
      </c>
      <c r="D432" s="149" t="s">
        <v>492</v>
      </c>
      <c r="E432" s="170">
        <v>-270</v>
      </c>
      <c r="F432" s="190"/>
      <c r="G432" s="168"/>
      <c r="H432" s="2"/>
      <c r="I432" s="2"/>
    </row>
    <row r="433" spans="1:9" s="110" customFormat="1" ht="13.5" customHeight="1">
      <c r="A433" s="164">
        <v>40354</v>
      </c>
      <c r="B433" s="127">
        <v>166</v>
      </c>
      <c r="C433" s="131" t="s">
        <v>226</v>
      </c>
      <c r="D433" s="149" t="s">
        <v>532</v>
      </c>
      <c r="E433" s="170">
        <v>-1000</v>
      </c>
      <c r="F433" s="190"/>
      <c r="G433" s="168"/>
      <c r="H433" s="2"/>
      <c r="I433" s="2"/>
    </row>
    <row r="434" spans="1:9" s="110" customFormat="1" ht="13.5" customHeight="1">
      <c r="A434" s="164">
        <v>40359</v>
      </c>
      <c r="B434" s="127">
        <v>169</v>
      </c>
      <c r="C434" s="131" t="s">
        <v>226</v>
      </c>
      <c r="D434" s="149" t="s">
        <v>615</v>
      </c>
      <c r="E434" s="170">
        <v>-226</v>
      </c>
      <c r="F434" s="190"/>
      <c r="G434" s="168"/>
      <c r="H434" s="2"/>
      <c r="I434" s="2"/>
    </row>
    <row r="435" spans="1:9" s="110" customFormat="1" ht="13.5" customHeight="1">
      <c r="A435" s="164">
        <v>40371</v>
      </c>
      <c r="B435" s="127">
        <v>185</v>
      </c>
      <c r="C435" s="131" t="s">
        <v>226</v>
      </c>
      <c r="D435" s="149" t="s">
        <v>658</v>
      </c>
      <c r="E435" s="170">
        <v>-1651.8</v>
      </c>
      <c r="F435" s="190"/>
      <c r="G435" s="168"/>
      <c r="H435" s="2"/>
      <c r="I435" s="2"/>
    </row>
    <row r="436" spans="1:9" s="110" customFormat="1" ht="13.5" customHeight="1">
      <c r="A436" s="164">
        <v>40374</v>
      </c>
      <c r="B436" s="127">
        <v>191</v>
      </c>
      <c r="C436" s="131" t="s">
        <v>226</v>
      </c>
      <c r="D436" s="149" t="s">
        <v>649</v>
      </c>
      <c r="E436" s="170">
        <v>-50</v>
      </c>
      <c r="F436" s="190"/>
      <c r="G436" s="168"/>
      <c r="H436" s="2"/>
      <c r="I436" s="2"/>
    </row>
    <row r="437" spans="1:9" s="110" customFormat="1" ht="13.5" customHeight="1">
      <c r="A437" s="164">
        <v>40414</v>
      </c>
      <c r="B437" s="127">
        <v>240</v>
      </c>
      <c r="C437" s="131" t="s">
        <v>226</v>
      </c>
      <c r="D437" s="149" t="s">
        <v>745</v>
      </c>
      <c r="E437" s="170">
        <v>-31</v>
      </c>
      <c r="F437" s="190"/>
      <c r="G437" s="168"/>
      <c r="H437" s="2"/>
      <c r="I437" s="2"/>
    </row>
    <row r="438" spans="1:9" s="110" customFormat="1" ht="13.5" customHeight="1">
      <c r="A438" s="164">
        <v>40436</v>
      </c>
      <c r="B438" s="127">
        <v>287</v>
      </c>
      <c r="C438" s="131" t="s">
        <v>226</v>
      </c>
      <c r="D438" s="149" t="s">
        <v>820</v>
      </c>
      <c r="E438" s="170">
        <v>-400</v>
      </c>
      <c r="F438" s="190"/>
      <c r="G438" s="168"/>
      <c r="H438" s="235"/>
      <c r="I438" s="235"/>
    </row>
    <row r="439" spans="1:9" s="110" customFormat="1" ht="13.5" customHeight="1">
      <c r="A439" s="164">
        <v>40507</v>
      </c>
      <c r="B439" s="127">
        <v>385</v>
      </c>
      <c r="C439" s="131" t="s">
        <v>226</v>
      </c>
      <c r="D439" s="149" t="s">
        <v>982</v>
      </c>
      <c r="E439" s="170">
        <v>-229</v>
      </c>
      <c r="F439" s="190"/>
      <c r="G439" s="168"/>
      <c r="H439" s="235"/>
      <c r="I439" s="235"/>
    </row>
    <row r="440" spans="1:9" s="110" customFormat="1" ht="13.5" customHeight="1">
      <c r="A440" s="164">
        <v>40507</v>
      </c>
      <c r="B440" s="127">
        <v>386</v>
      </c>
      <c r="C440" s="131" t="s">
        <v>226</v>
      </c>
      <c r="D440" s="149" t="s">
        <v>983</v>
      </c>
      <c r="E440" s="170">
        <v>-603</v>
      </c>
      <c r="F440" s="190"/>
      <c r="G440" s="168"/>
      <c r="H440" s="235"/>
      <c r="I440" s="235"/>
    </row>
    <row r="441" spans="1:9" s="110" customFormat="1" ht="13.5" customHeight="1">
      <c r="A441" s="164">
        <v>40507</v>
      </c>
      <c r="B441" s="127">
        <v>387</v>
      </c>
      <c r="C441" s="131" t="s">
        <v>226</v>
      </c>
      <c r="D441" s="149" t="s">
        <v>984</v>
      </c>
      <c r="E441" s="170">
        <v>-490.7</v>
      </c>
      <c r="F441" s="190"/>
      <c r="G441" s="168"/>
      <c r="H441" s="235"/>
      <c r="I441" s="235"/>
    </row>
    <row r="442" spans="1:11" ht="12.75">
      <c r="A442" s="184">
        <v>40511</v>
      </c>
      <c r="B442" s="1">
        <v>394</v>
      </c>
      <c r="C442" s="1" t="s">
        <v>226</v>
      </c>
      <c r="D442" s="126" t="s">
        <v>996</v>
      </c>
      <c r="E442" s="171">
        <v>-10000</v>
      </c>
      <c r="G442" s="5"/>
      <c r="H442" s="2"/>
      <c r="I442" s="110"/>
      <c r="J442" s="129"/>
      <c r="K442" s="5"/>
    </row>
    <row r="443" spans="1:11" ht="12.75">
      <c r="A443" s="164">
        <v>40512</v>
      </c>
      <c r="B443" s="1">
        <v>397</v>
      </c>
      <c r="C443" s="1" t="s">
        <v>226</v>
      </c>
      <c r="D443" s="126" t="s">
        <v>993</v>
      </c>
      <c r="E443" s="171">
        <v>-570</v>
      </c>
      <c r="G443" s="5"/>
      <c r="H443" s="2"/>
      <c r="I443" s="110"/>
      <c r="J443" s="129"/>
      <c r="K443" s="5"/>
    </row>
    <row r="444" spans="1:11" ht="12.75">
      <c r="A444" s="164">
        <v>40512</v>
      </c>
      <c r="B444" s="1">
        <v>398</v>
      </c>
      <c r="C444" s="1" t="s">
        <v>226</v>
      </c>
      <c r="D444" s="126" t="s">
        <v>992</v>
      </c>
      <c r="E444" s="171">
        <v>-2915</v>
      </c>
      <c r="G444" s="5"/>
      <c r="H444" s="2"/>
      <c r="I444" s="110"/>
      <c r="J444" s="129"/>
      <c r="K444" s="5"/>
    </row>
    <row r="445" spans="1:11" ht="12.75">
      <c r="A445" s="184">
        <v>40514</v>
      </c>
      <c r="B445" s="1">
        <v>403</v>
      </c>
      <c r="C445" s="1" t="s">
        <v>226</v>
      </c>
      <c r="D445" s="126" t="s">
        <v>973</v>
      </c>
      <c r="E445" s="171">
        <v>-3274</v>
      </c>
      <c r="G445" s="5"/>
      <c r="H445" s="2"/>
      <c r="I445" s="110"/>
      <c r="J445" s="129"/>
      <c r="K445" s="5"/>
    </row>
    <row r="446" spans="1:11" ht="12.75">
      <c r="A446" s="184">
        <v>40518</v>
      </c>
      <c r="B446" s="1">
        <v>407</v>
      </c>
      <c r="C446" s="1" t="s">
        <v>226</v>
      </c>
      <c r="D446" s="126" t="s">
        <v>997</v>
      </c>
      <c r="E446" s="171">
        <v>-227</v>
      </c>
      <c r="G446" s="5"/>
      <c r="H446" s="2"/>
      <c r="I446" s="110"/>
      <c r="J446" s="129"/>
      <c r="K446" s="5"/>
    </row>
    <row r="447" spans="1:11" ht="12.75">
      <c r="A447" s="164">
        <v>40522</v>
      </c>
      <c r="B447" s="1">
        <v>412</v>
      </c>
      <c r="C447" s="1" t="s">
        <v>226</v>
      </c>
      <c r="D447" s="126" t="s">
        <v>1020</v>
      </c>
      <c r="E447" s="171">
        <v>-900</v>
      </c>
      <c r="G447" s="5"/>
      <c r="H447" s="2"/>
      <c r="I447" s="110"/>
      <c r="J447" s="129"/>
      <c r="K447" s="5"/>
    </row>
    <row r="448" spans="1:11" ht="12.75">
      <c r="A448" s="184">
        <v>40529</v>
      </c>
      <c r="B448" s="1">
        <v>432</v>
      </c>
      <c r="C448" s="1" t="s">
        <v>226</v>
      </c>
      <c r="D448" s="126" t="s">
        <v>1025</v>
      </c>
      <c r="E448" s="171">
        <v>-10000</v>
      </c>
      <c r="G448" s="5"/>
      <c r="H448" s="2"/>
      <c r="I448" s="110"/>
      <c r="J448" s="129"/>
      <c r="K448" s="5"/>
    </row>
    <row r="449" spans="1:11" ht="12.75">
      <c r="A449" s="164">
        <v>40529</v>
      </c>
      <c r="B449" s="1">
        <v>435</v>
      </c>
      <c r="C449" s="1" t="s">
        <v>226</v>
      </c>
      <c r="D449" s="126" t="s">
        <v>1036</v>
      </c>
      <c r="E449" s="171">
        <v>-550</v>
      </c>
      <c r="G449" s="5"/>
      <c r="H449" s="243"/>
      <c r="J449" s="129"/>
      <c r="K449" s="5"/>
    </row>
    <row r="450" spans="1:11" ht="12.75">
      <c r="A450" s="164">
        <v>40534</v>
      </c>
      <c r="B450" s="1">
        <v>444</v>
      </c>
      <c r="C450" s="1" t="s">
        <v>226</v>
      </c>
      <c r="D450" s="126" t="s">
        <v>1046</v>
      </c>
      <c r="E450" s="171">
        <v>-1680</v>
      </c>
      <c r="G450" s="5"/>
      <c r="H450" s="243"/>
      <c r="J450" s="129"/>
      <c r="K450" s="5"/>
    </row>
    <row r="451" spans="1:11" ht="12.75">
      <c r="A451" s="74"/>
      <c r="C451" s="1"/>
      <c r="G451" s="5"/>
      <c r="H451" s="2"/>
      <c r="J451" s="9"/>
      <c r="K451" s="5"/>
    </row>
    <row r="452" spans="1:7" ht="12.75">
      <c r="A452" s="74"/>
      <c r="E452" s="73">
        <f>SUM(E428:E451)</f>
        <v>-36709.97</v>
      </c>
      <c r="F452" s="73">
        <f>SUM(F428:F451)</f>
        <v>0</v>
      </c>
      <c r="G452" s="73">
        <f>SUM(E452:F452)</f>
        <v>-36709.97</v>
      </c>
    </row>
    <row r="453" ht="12.75">
      <c r="A453" s="74"/>
    </row>
    <row r="454" spans="1:11" ht="12.75">
      <c r="A454" s="184">
        <v>40518</v>
      </c>
      <c r="B454" s="1">
        <v>408</v>
      </c>
      <c r="C454" s="1" t="s">
        <v>259</v>
      </c>
      <c r="D454" s="126" t="s">
        <v>998</v>
      </c>
      <c r="E454" s="171">
        <v>-6000</v>
      </c>
      <c r="G454" s="5"/>
      <c r="H454" s="2"/>
      <c r="I454" s="110"/>
      <c r="J454" s="129"/>
      <c r="K454" s="5"/>
    </row>
    <row r="455" spans="1:11" ht="12.75">
      <c r="A455" s="184">
        <v>40518</v>
      </c>
      <c r="B455" s="1">
        <v>409</v>
      </c>
      <c r="C455" s="1" t="s">
        <v>259</v>
      </c>
      <c r="D455" s="126" t="s">
        <v>999</v>
      </c>
      <c r="E455" s="171">
        <v>-6000</v>
      </c>
      <c r="G455" s="5"/>
      <c r="H455" s="2"/>
      <c r="I455" s="110"/>
      <c r="J455" s="129"/>
      <c r="K455" s="5"/>
    </row>
    <row r="456" spans="1:11" ht="12.75">
      <c r="A456" s="164">
        <v>40522</v>
      </c>
      <c r="B456" s="1">
        <v>414</v>
      </c>
      <c r="C456" s="1" t="s">
        <v>259</v>
      </c>
      <c r="D456" s="126" t="s">
        <v>1008</v>
      </c>
      <c r="E456" s="171">
        <v>-700</v>
      </c>
      <c r="G456" s="5"/>
      <c r="H456" s="2"/>
      <c r="I456" s="110"/>
      <c r="J456" s="129"/>
      <c r="K456" s="5"/>
    </row>
    <row r="457" spans="1:11" ht="12.75">
      <c r="A457" s="164">
        <v>40522</v>
      </c>
      <c r="B457" s="1">
        <v>415</v>
      </c>
      <c r="C457" s="1" t="s">
        <v>259</v>
      </c>
      <c r="D457" s="126" t="s">
        <v>1010</v>
      </c>
      <c r="E457" s="171">
        <v>-1500</v>
      </c>
      <c r="G457" s="5"/>
      <c r="H457" s="2"/>
      <c r="I457" s="110"/>
      <c r="J457" s="129"/>
      <c r="K457" s="5"/>
    </row>
    <row r="458" spans="1:11" ht="12.75">
      <c r="A458" s="164">
        <v>40527</v>
      </c>
      <c r="B458" s="1">
        <v>425</v>
      </c>
      <c r="C458" s="1" t="s">
        <v>259</v>
      </c>
      <c r="D458" s="126" t="s">
        <v>1012</v>
      </c>
      <c r="E458" s="171">
        <v>-1500</v>
      </c>
      <c r="G458" s="5"/>
      <c r="H458" s="2"/>
      <c r="I458" s="110"/>
      <c r="J458" s="129"/>
      <c r="K458" s="5"/>
    </row>
    <row r="459" spans="1:11" ht="12.75">
      <c r="A459" s="164">
        <v>40527</v>
      </c>
      <c r="B459" s="1">
        <v>426</v>
      </c>
      <c r="C459" s="1" t="s">
        <v>259</v>
      </c>
      <c r="D459" s="126" t="s">
        <v>1006</v>
      </c>
      <c r="E459" s="171">
        <v>-5000</v>
      </c>
      <c r="G459" s="5"/>
      <c r="H459" s="2"/>
      <c r="I459" s="110"/>
      <c r="J459" s="129"/>
      <c r="K459" s="5"/>
    </row>
    <row r="460" spans="1:11" ht="12.75">
      <c r="A460" s="184">
        <v>40529</v>
      </c>
      <c r="B460" s="1">
        <v>433</v>
      </c>
      <c r="C460" s="1" t="s">
        <v>259</v>
      </c>
      <c r="D460" s="126" t="s">
        <v>1011</v>
      </c>
      <c r="E460" s="171">
        <v>-1500</v>
      </c>
      <c r="G460" s="5"/>
      <c r="H460" s="2"/>
      <c r="I460" s="110"/>
      <c r="J460" s="129"/>
      <c r="K460" s="5"/>
    </row>
    <row r="461" spans="1:11" ht="12.75">
      <c r="A461" s="184">
        <v>40529</v>
      </c>
      <c r="B461" s="1">
        <v>434</v>
      </c>
      <c r="C461" s="1" t="s">
        <v>259</v>
      </c>
      <c r="D461" s="126" t="s">
        <v>1002</v>
      </c>
      <c r="E461" s="171">
        <v>-3000</v>
      </c>
      <c r="G461" s="5"/>
      <c r="H461" s="2"/>
      <c r="I461" s="110"/>
      <c r="J461" s="129"/>
      <c r="K461" s="5"/>
    </row>
    <row r="462" spans="1:11" ht="12.75">
      <c r="A462" s="164">
        <v>40532</v>
      </c>
      <c r="B462" s="1">
        <v>436</v>
      </c>
      <c r="C462" s="1" t="s">
        <v>259</v>
      </c>
      <c r="D462" s="126" t="s">
        <v>1007</v>
      </c>
      <c r="E462" s="171">
        <v>-7000</v>
      </c>
      <c r="G462" s="5"/>
      <c r="H462" s="2"/>
      <c r="I462" s="110"/>
      <c r="J462" s="129"/>
      <c r="K462" s="5"/>
    </row>
    <row r="463" spans="1:11" ht="12.75">
      <c r="A463" s="164">
        <v>40532</v>
      </c>
      <c r="B463" s="1">
        <v>437</v>
      </c>
      <c r="C463" s="1" t="s">
        <v>259</v>
      </c>
      <c r="D463" s="126" t="s">
        <v>1009</v>
      </c>
      <c r="E463" s="171">
        <v>-1500</v>
      </c>
      <c r="G463" s="5"/>
      <c r="H463" s="2"/>
      <c r="I463" s="110"/>
      <c r="J463" s="129"/>
      <c r="K463" s="5"/>
    </row>
    <row r="464" spans="1:11" ht="12.75">
      <c r="A464" s="164">
        <v>40532</v>
      </c>
      <c r="B464" s="1">
        <v>438</v>
      </c>
      <c r="C464" s="1" t="s">
        <v>259</v>
      </c>
      <c r="D464" s="126" t="s">
        <v>1005</v>
      </c>
      <c r="E464" s="171">
        <v>-5000</v>
      </c>
      <c r="G464" s="5"/>
      <c r="H464" s="2"/>
      <c r="I464" s="110"/>
      <c r="J464" s="129"/>
      <c r="K464" s="5"/>
    </row>
    <row r="465" spans="1:11" ht="12.75">
      <c r="A465" s="164">
        <v>40532</v>
      </c>
      <c r="B465" s="1">
        <v>439</v>
      </c>
      <c r="C465" s="1" t="s">
        <v>259</v>
      </c>
      <c r="D465" s="126" t="s">
        <v>1004</v>
      </c>
      <c r="E465" s="171">
        <v>-4000</v>
      </c>
      <c r="G465" s="5"/>
      <c r="H465" s="2"/>
      <c r="I465" s="110"/>
      <c r="J465" s="129"/>
      <c r="K465" s="5"/>
    </row>
    <row r="466" spans="1:11" ht="12.75">
      <c r="A466" s="164">
        <v>40534</v>
      </c>
      <c r="B466" s="1">
        <v>445</v>
      </c>
      <c r="C466" s="1" t="s">
        <v>259</v>
      </c>
      <c r="D466" s="126" t="s">
        <v>1003</v>
      </c>
      <c r="E466" s="171">
        <v>-850</v>
      </c>
      <c r="G466" s="5"/>
      <c r="H466" s="244"/>
      <c r="I466" s="110"/>
      <c r="J466" s="129"/>
      <c r="K466" s="5"/>
    </row>
    <row r="467" ht="12.75">
      <c r="A467" s="74"/>
    </row>
    <row r="468" spans="1:7" ht="12.75">
      <c r="A468" s="74"/>
      <c r="E468" s="73">
        <f>SUM(E454:E467)</f>
        <v>-43550</v>
      </c>
      <c r="F468" s="73">
        <f>SUM(F455:F467)</f>
        <v>0</v>
      </c>
      <c r="G468" s="73">
        <f>SUM(E468:F468)</f>
        <v>-43550</v>
      </c>
    </row>
    <row r="469" ht="12.75">
      <c r="A469" s="164"/>
    </row>
    <row r="470" spans="1:9" s="110" customFormat="1" ht="13.5" customHeight="1">
      <c r="A470" s="164">
        <v>40235</v>
      </c>
      <c r="B470" s="127">
        <v>21</v>
      </c>
      <c r="C470" s="131">
        <v>44</v>
      </c>
      <c r="D470" s="110" t="s">
        <v>339</v>
      </c>
      <c r="E470" s="170">
        <v>-1400</v>
      </c>
      <c r="F470" s="190"/>
      <c r="G470" s="168"/>
      <c r="H470" s="2"/>
      <c r="I470" s="2"/>
    </row>
    <row r="471" spans="1:9" s="110" customFormat="1" ht="13.5" customHeight="1">
      <c r="A471" s="164">
        <v>40294</v>
      </c>
      <c r="B471" s="127">
        <v>45</v>
      </c>
      <c r="C471" s="131">
        <v>44</v>
      </c>
      <c r="D471" s="149" t="s">
        <v>401</v>
      </c>
      <c r="E471" s="170">
        <v>-350</v>
      </c>
      <c r="F471" s="190"/>
      <c r="G471" s="168"/>
      <c r="H471" s="2"/>
      <c r="I471" s="2"/>
    </row>
    <row r="472" spans="1:13" ht="12.75">
      <c r="A472" s="164">
        <v>40301</v>
      </c>
      <c r="B472" s="1">
        <v>70</v>
      </c>
      <c r="C472" s="185">
        <v>44</v>
      </c>
      <c r="D472" s="126" t="s">
        <v>449</v>
      </c>
      <c r="E472" s="5">
        <v>-18900</v>
      </c>
      <c r="G472" s="5"/>
      <c r="H472" s="235"/>
      <c r="I472" s="235"/>
      <c r="J472" s="129"/>
      <c r="K472" s="128"/>
      <c r="L472" s="110"/>
      <c r="M472" s="169"/>
    </row>
    <row r="473" spans="1:13" ht="12.75">
      <c r="A473" s="184">
        <v>40323</v>
      </c>
      <c r="B473" s="1">
        <v>105</v>
      </c>
      <c r="C473" s="185">
        <v>44</v>
      </c>
      <c r="D473" s="126" t="s">
        <v>467</v>
      </c>
      <c r="E473" s="5">
        <v>-17833</v>
      </c>
      <c r="G473" s="5"/>
      <c r="H473" s="235"/>
      <c r="I473" s="235"/>
      <c r="J473" s="129"/>
      <c r="K473" s="128"/>
      <c r="L473" s="110"/>
      <c r="M473" s="169"/>
    </row>
    <row r="474" spans="1:13" ht="12.75">
      <c r="A474" s="184">
        <v>40323</v>
      </c>
      <c r="B474" s="1">
        <v>106</v>
      </c>
      <c r="C474" s="185">
        <v>44</v>
      </c>
      <c r="D474" s="126" t="s">
        <v>468</v>
      </c>
      <c r="E474" s="5">
        <v>-816</v>
      </c>
      <c r="G474" s="5"/>
      <c r="H474" s="235"/>
      <c r="I474" s="235"/>
      <c r="J474" s="129"/>
      <c r="K474" s="128"/>
      <c r="L474" s="110"/>
      <c r="M474" s="169"/>
    </row>
    <row r="475" spans="1:13" ht="12.75">
      <c r="A475" s="184">
        <v>40339</v>
      </c>
      <c r="B475" s="1">
        <v>142</v>
      </c>
      <c r="C475" s="185">
        <v>44</v>
      </c>
      <c r="D475" s="126" t="s">
        <v>530</v>
      </c>
      <c r="E475" s="5">
        <v>-300</v>
      </c>
      <c r="G475" s="5"/>
      <c r="H475" s="235"/>
      <c r="I475" s="235"/>
      <c r="J475" s="129"/>
      <c r="K475" s="128"/>
      <c r="L475" s="110"/>
      <c r="M475" s="169"/>
    </row>
    <row r="476" spans="1:13" ht="12.75">
      <c r="A476" s="184">
        <v>40339</v>
      </c>
      <c r="B476" s="1">
        <v>144</v>
      </c>
      <c r="C476" s="185">
        <v>44</v>
      </c>
      <c r="D476" s="126" t="s">
        <v>531</v>
      </c>
      <c r="E476" s="5">
        <v>-12200</v>
      </c>
      <c r="G476" s="5"/>
      <c r="H476" s="235"/>
      <c r="I476" s="235"/>
      <c r="J476" s="129"/>
      <c r="K476" s="128"/>
      <c r="L476" s="110"/>
      <c r="M476" s="169"/>
    </row>
    <row r="477" spans="1:11" s="110" customFormat="1" ht="12.75">
      <c r="A477" s="164">
        <v>40360</v>
      </c>
      <c r="B477" s="1">
        <v>174</v>
      </c>
      <c r="C477" s="127">
        <v>44</v>
      </c>
      <c r="D477" s="149" t="s">
        <v>655</v>
      </c>
      <c r="E477" s="170">
        <v>-28800</v>
      </c>
      <c r="F477" s="128"/>
      <c r="G477" s="170"/>
      <c r="K477" s="128"/>
    </row>
    <row r="478" spans="1:10" s="110" customFormat="1" ht="12.75">
      <c r="A478" s="164">
        <v>40389</v>
      </c>
      <c r="B478" s="127">
        <v>200</v>
      </c>
      <c r="C478" s="131">
        <v>44</v>
      </c>
      <c r="D478" s="149" t="s">
        <v>676</v>
      </c>
      <c r="E478" s="170">
        <v>-6760</v>
      </c>
      <c r="F478" s="190"/>
      <c r="G478" s="168"/>
      <c r="J478" s="129"/>
    </row>
    <row r="479" spans="1:11" s="110" customFormat="1" ht="12.75">
      <c r="A479" s="164">
        <v>40416</v>
      </c>
      <c r="B479" s="1">
        <v>247</v>
      </c>
      <c r="C479" s="127">
        <v>44</v>
      </c>
      <c r="D479" s="149" t="s">
        <v>748</v>
      </c>
      <c r="E479" s="170">
        <v>-1328</v>
      </c>
      <c r="F479" s="128"/>
      <c r="G479" s="170"/>
      <c r="H479" s="235"/>
      <c r="I479" s="235"/>
      <c r="K479" s="128"/>
    </row>
    <row r="480" spans="1:11" s="110" customFormat="1" ht="12.75">
      <c r="A480" s="164">
        <v>40429</v>
      </c>
      <c r="B480" s="1">
        <v>273</v>
      </c>
      <c r="C480" s="127">
        <v>44</v>
      </c>
      <c r="D480" s="149" t="s">
        <v>791</v>
      </c>
      <c r="E480" s="170">
        <v>-6380</v>
      </c>
      <c r="F480" s="128"/>
      <c r="G480" s="170"/>
      <c r="H480" s="235"/>
      <c r="I480" s="235"/>
      <c r="K480" s="128"/>
    </row>
    <row r="481" spans="1:11" s="110" customFormat="1" ht="12.75">
      <c r="A481" s="164">
        <v>40435</v>
      </c>
      <c r="B481" s="1">
        <v>280</v>
      </c>
      <c r="C481" s="127">
        <v>44</v>
      </c>
      <c r="D481" s="149" t="s">
        <v>816</v>
      </c>
      <c r="E481" s="170">
        <v>-20695</v>
      </c>
      <c r="F481" s="128"/>
      <c r="G481" s="170"/>
      <c r="H481" s="235"/>
      <c r="I481" s="235"/>
      <c r="K481" s="128"/>
    </row>
    <row r="482" spans="1:10" s="110" customFormat="1" ht="12.75">
      <c r="A482" s="164">
        <v>40436</v>
      </c>
      <c r="B482" s="127">
        <v>288</v>
      </c>
      <c r="C482" s="131">
        <v>44</v>
      </c>
      <c r="D482" s="149" t="s">
        <v>804</v>
      </c>
      <c r="E482" s="170">
        <v>-5060</v>
      </c>
      <c r="F482" s="190"/>
      <c r="G482" s="168"/>
      <c r="J482" s="129"/>
    </row>
    <row r="483" spans="1:11" s="110" customFormat="1" ht="12.75">
      <c r="A483" s="164">
        <v>40436</v>
      </c>
      <c r="B483" s="127">
        <v>288</v>
      </c>
      <c r="C483" s="127">
        <v>44</v>
      </c>
      <c r="D483" s="149" t="s">
        <v>805</v>
      </c>
      <c r="E483" s="170">
        <v>-2000</v>
      </c>
      <c r="F483" s="128"/>
      <c r="G483" s="170"/>
      <c r="H483" s="235"/>
      <c r="I483" s="235"/>
      <c r="K483" s="128"/>
    </row>
    <row r="484" spans="1:11" s="110" customFormat="1" ht="12.75">
      <c r="A484" s="164">
        <v>40443</v>
      </c>
      <c r="B484" s="1">
        <v>306</v>
      </c>
      <c r="C484" s="127">
        <v>44</v>
      </c>
      <c r="D484" s="149" t="s">
        <v>842</v>
      </c>
      <c r="E484" s="170">
        <v>-900</v>
      </c>
      <c r="F484" s="128"/>
      <c r="G484" s="170"/>
      <c r="H484" s="235"/>
      <c r="I484" s="235"/>
      <c r="K484" s="128"/>
    </row>
    <row r="485" spans="1:11" s="110" customFormat="1" ht="12.75">
      <c r="A485" s="164">
        <v>40445</v>
      </c>
      <c r="B485" s="1">
        <v>309</v>
      </c>
      <c r="C485" s="127">
        <v>44</v>
      </c>
      <c r="D485" s="149" t="s">
        <v>841</v>
      </c>
      <c r="E485" s="170">
        <v>-1175</v>
      </c>
      <c r="F485" s="128"/>
      <c r="G485" s="170"/>
      <c r="H485" s="235"/>
      <c r="I485" s="235"/>
      <c r="K485" s="128"/>
    </row>
    <row r="486" spans="1:11" s="110" customFormat="1" ht="12.75">
      <c r="A486" s="164">
        <v>40421</v>
      </c>
      <c r="B486" s="1">
        <v>253</v>
      </c>
      <c r="C486" s="127">
        <v>44</v>
      </c>
      <c r="D486" s="149" t="s">
        <v>786</v>
      </c>
      <c r="E486" s="170">
        <v>-7200</v>
      </c>
      <c r="F486" s="128"/>
      <c r="G486" s="170"/>
      <c r="H486" s="235"/>
      <c r="I486" s="235"/>
      <c r="K486" s="128"/>
    </row>
    <row r="487" spans="1:11" s="110" customFormat="1" ht="12.75">
      <c r="A487" s="164">
        <v>40456</v>
      </c>
      <c r="B487" s="1">
        <v>325</v>
      </c>
      <c r="C487" s="127">
        <v>44</v>
      </c>
      <c r="D487" s="149" t="s">
        <v>840</v>
      </c>
      <c r="E487" s="170">
        <v>-1000</v>
      </c>
      <c r="F487" s="128"/>
      <c r="G487" s="170"/>
      <c r="H487" s="235"/>
      <c r="I487" s="235"/>
      <c r="K487" s="128"/>
    </row>
    <row r="488" spans="1:11" s="110" customFormat="1" ht="12.75">
      <c r="A488" s="164">
        <v>40457</v>
      </c>
      <c r="B488" s="127">
        <v>326</v>
      </c>
      <c r="C488" s="127">
        <v>44</v>
      </c>
      <c r="D488" s="149" t="s">
        <v>855</v>
      </c>
      <c r="E488" s="170">
        <v>-2800</v>
      </c>
      <c r="F488" s="128"/>
      <c r="G488" s="170"/>
      <c r="H488" s="235"/>
      <c r="I488" s="235"/>
      <c r="K488" s="128"/>
    </row>
    <row r="489" spans="1:11" s="110" customFormat="1" ht="12.75">
      <c r="A489" s="164">
        <v>40457</v>
      </c>
      <c r="B489" s="127">
        <v>326</v>
      </c>
      <c r="C489" s="127">
        <v>44</v>
      </c>
      <c r="D489" s="149" t="s">
        <v>852</v>
      </c>
      <c r="E489" s="170">
        <v>-1800</v>
      </c>
      <c r="F489" s="128"/>
      <c r="G489" s="170"/>
      <c r="H489" s="235"/>
      <c r="I489" s="235"/>
      <c r="K489" s="128"/>
    </row>
    <row r="490" spans="1:10" s="110" customFormat="1" ht="12.75">
      <c r="A490" s="164">
        <v>40457</v>
      </c>
      <c r="B490" s="127">
        <v>326</v>
      </c>
      <c r="C490" s="131">
        <v>44</v>
      </c>
      <c r="D490" s="149" t="s">
        <v>850</v>
      </c>
      <c r="E490" s="170">
        <v>-5085</v>
      </c>
      <c r="F490" s="190"/>
      <c r="G490" s="168"/>
      <c r="J490" s="129"/>
    </row>
    <row r="491" spans="1:10" s="110" customFormat="1" ht="12.75">
      <c r="A491" s="164">
        <v>40457</v>
      </c>
      <c r="B491" s="127">
        <v>326</v>
      </c>
      <c r="C491" s="188">
        <v>44</v>
      </c>
      <c r="D491" s="149" t="s">
        <v>853</v>
      </c>
      <c r="E491" s="170">
        <v>-5250</v>
      </c>
      <c r="F491" s="190"/>
      <c r="G491" s="168"/>
      <c r="J491" s="129"/>
    </row>
    <row r="492" spans="1:11" s="110" customFormat="1" ht="12.75">
      <c r="A492" s="164">
        <v>40457</v>
      </c>
      <c r="B492" s="127">
        <v>327</v>
      </c>
      <c r="C492" s="127">
        <v>44</v>
      </c>
      <c r="D492" s="149" t="s">
        <v>851</v>
      </c>
      <c r="E492" s="170">
        <v>-100</v>
      </c>
      <c r="F492" s="128"/>
      <c r="G492" s="170"/>
      <c r="H492" s="235"/>
      <c r="I492" s="235"/>
      <c r="K492" s="128"/>
    </row>
    <row r="493" spans="1:10" s="110" customFormat="1" ht="12.75">
      <c r="A493" s="164">
        <v>40457</v>
      </c>
      <c r="B493" s="127">
        <v>327</v>
      </c>
      <c r="C493" s="131">
        <v>44</v>
      </c>
      <c r="D493" s="149" t="s">
        <v>850</v>
      </c>
      <c r="E493" s="170">
        <v>-510</v>
      </c>
      <c r="F493" s="190"/>
      <c r="G493" s="168"/>
      <c r="J493" s="129"/>
    </row>
    <row r="494" spans="1:11" s="110" customFormat="1" ht="12.75">
      <c r="A494" s="164">
        <v>40465</v>
      </c>
      <c r="B494" s="1">
        <v>333</v>
      </c>
      <c r="C494" s="127">
        <v>44</v>
      </c>
      <c r="D494" s="149" t="s">
        <v>890</v>
      </c>
      <c r="E494" s="170">
        <v>-920</v>
      </c>
      <c r="F494" s="128"/>
      <c r="G494" s="170"/>
      <c r="H494" s="235"/>
      <c r="I494" s="235"/>
      <c r="K494" s="128"/>
    </row>
    <row r="495" spans="1:10" s="110" customFormat="1" ht="12.75">
      <c r="A495" s="164">
        <v>40469</v>
      </c>
      <c r="B495" s="127">
        <v>337</v>
      </c>
      <c r="C495" s="131">
        <v>44</v>
      </c>
      <c r="D495" s="149" t="s">
        <v>899</v>
      </c>
      <c r="E495" s="170">
        <v>-7950</v>
      </c>
      <c r="F495" s="190"/>
      <c r="G495" s="168"/>
      <c r="J495" s="129"/>
    </row>
    <row r="496" spans="1:10" s="110" customFormat="1" ht="12.75">
      <c r="A496" s="164">
        <v>40469</v>
      </c>
      <c r="B496" s="127">
        <v>337</v>
      </c>
      <c r="C496" s="131">
        <v>44</v>
      </c>
      <c r="D496" s="149" t="s">
        <v>900</v>
      </c>
      <c r="E496" s="170">
        <v>-9200</v>
      </c>
      <c r="F496" s="190"/>
      <c r="G496" s="168"/>
      <c r="J496" s="129"/>
    </row>
    <row r="497" spans="1:11" s="110" customFormat="1" ht="12.75">
      <c r="A497" s="164">
        <v>40469</v>
      </c>
      <c r="B497" s="127">
        <v>337</v>
      </c>
      <c r="C497" s="127">
        <v>44</v>
      </c>
      <c r="D497" s="149" t="s">
        <v>901</v>
      </c>
      <c r="E497" s="170">
        <v>-1700</v>
      </c>
      <c r="F497" s="128"/>
      <c r="G497" s="170"/>
      <c r="H497" s="235"/>
      <c r="I497" s="235"/>
      <c r="K497" s="128"/>
    </row>
    <row r="498" spans="1:10" s="110" customFormat="1" ht="12.75">
      <c r="A498" s="164">
        <v>40469</v>
      </c>
      <c r="B498" s="127">
        <v>337</v>
      </c>
      <c r="C498" s="131">
        <v>44</v>
      </c>
      <c r="D498" s="149" t="s">
        <v>904</v>
      </c>
      <c r="E498" s="170">
        <v>-300</v>
      </c>
      <c r="F498" s="190"/>
      <c r="G498" s="168"/>
      <c r="J498" s="129"/>
    </row>
    <row r="499" spans="1:11" s="110" customFormat="1" ht="12.75">
      <c r="A499" s="164">
        <v>40469</v>
      </c>
      <c r="B499" s="127">
        <v>337</v>
      </c>
      <c r="C499" s="127">
        <v>44</v>
      </c>
      <c r="D499" s="149" t="s">
        <v>905</v>
      </c>
      <c r="E499" s="170">
        <f>-160-40</f>
        <v>-200</v>
      </c>
      <c r="F499" s="128"/>
      <c r="G499" s="170"/>
      <c r="H499" s="235"/>
      <c r="I499" s="235"/>
      <c r="K499" s="128"/>
    </row>
    <row r="500" spans="1:11" s="110" customFormat="1" ht="12.75">
      <c r="A500" s="164">
        <v>40472</v>
      </c>
      <c r="B500" s="1">
        <v>340</v>
      </c>
      <c r="C500" s="127">
        <v>44</v>
      </c>
      <c r="D500" s="149" t="s">
        <v>907</v>
      </c>
      <c r="E500" s="170">
        <v>-5744.5</v>
      </c>
      <c r="F500" s="128"/>
      <c r="G500" s="170"/>
      <c r="H500" s="235"/>
      <c r="I500" s="235"/>
      <c r="K500" s="128"/>
    </row>
    <row r="501" spans="1:11" s="110" customFormat="1" ht="12.75">
      <c r="A501" s="164">
        <v>40472</v>
      </c>
      <c r="B501" s="1">
        <v>343</v>
      </c>
      <c r="C501" s="127">
        <v>44</v>
      </c>
      <c r="D501" s="149" t="s">
        <v>909</v>
      </c>
      <c r="E501" s="170">
        <v>-860</v>
      </c>
      <c r="F501" s="128"/>
      <c r="G501" s="170"/>
      <c r="H501" s="235"/>
      <c r="I501" s="235"/>
      <c r="K501" s="128"/>
    </row>
    <row r="502" spans="1:11" s="110" customFormat="1" ht="12.75">
      <c r="A502" s="164">
        <v>40480</v>
      </c>
      <c r="B502" s="1">
        <v>357</v>
      </c>
      <c r="C502" s="127">
        <v>44</v>
      </c>
      <c r="D502" s="149" t="s">
        <v>945</v>
      </c>
      <c r="E502" s="170">
        <v>-1130</v>
      </c>
      <c r="F502" s="128"/>
      <c r="G502" s="170"/>
      <c r="H502" s="235"/>
      <c r="I502" s="235"/>
      <c r="K502" s="128"/>
    </row>
    <row r="503" spans="1:11" s="110" customFormat="1" ht="12.75">
      <c r="A503" s="164">
        <v>40507</v>
      </c>
      <c r="B503" s="1">
        <v>383</v>
      </c>
      <c r="C503" s="127">
        <v>44</v>
      </c>
      <c r="D503" s="149" t="s">
        <v>977</v>
      </c>
      <c r="E503" s="170">
        <v>-450</v>
      </c>
      <c r="F503" s="128"/>
      <c r="G503" s="170"/>
      <c r="H503" s="235"/>
      <c r="I503" s="235"/>
      <c r="K503" s="128"/>
    </row>
    <row r="504" spans="1:11" s="110" customFormat="1" ht="12.75">
      <c r="A504" s="164">
        <v>40507</v>
      </c>
      <c r="B504" s="1">
        <v>384</v>
      </c>
      <c r="C504" s="127">
        <v>44</v>
      </c>
      <c r="D504" s="149" t="s">
        <v>981</v>
      </c>
      <c r="E504" s="170">
        <v>-1300</v>
      </c>
      <c r="F504" s="128"/>
      <c r="G504" s="170"/>
      <c r="H504" s="235"/>
      <c r="I504" s="235"/>
      <c r="K504" s="128"/>
    </row>
    <row r="505" spans="1:11" s="110" customFormat="1" ht="12.75">
      <c r="A505" s="164">
        <v>40512</v>
      </c>
      <c r="B505" s="1">
        <v>396</v>
      </c>
      <c r="C505" s="127">
        <v>44</v>
      </c>
      <c r="D505" s="149" t="s">
        <v>991</v>
      </c>
      <c r="E505" s="170">
        <v>-1600</v>
      </c>
      <c r="F505" s="128"/>
      <c r="G505" s="170"/>
      <c r="H505" s="235"/>
      <c r="I505" s="235"/>
      <c r="K505" s="128"/>
    </row>
    <row r="506" spans="1:11" s="110" customFormat="1" ht="12.75">
      <c r="A506" s="164">
        <v>40534</v>
      </c>
      <c r="B506" s="1">
        <v>447</v>
      </c>
      <c r="C506" s="127">
        <v>44</v>
      </c>
      <c r="D506" s="149" t="s">
        <v>1048</v>
      </c>
      <c r="E506" s="170">
        <v>-1647</v>
      </c>
      <c r="F506" s="128"/>
      <c r="G506" s="170"/>
      <c r="H506" s="235"/>
      <c r="I506" s="235"/>
      <c r="K506" s="128"/>
    </row>
    <row r="507" spans="1:11" s="110" customFormat="1" ht="12.75">
      <c r="A507" s="184">
        <v>40539</v>
      </c>
      <c r="B507" s="1">
        <v>452</v>
      </c>
      <c r="C507" s="127">
        <v>44</v>
      </c>
      <c r="D507" s="149" t="s">
        <v>1049</v>
      </c>
      <c r="E507" s="170">
        <v>-2300</v>
      </c>
      <c r="F507" s="128"/>
      <c r="G507" s="170"/>
      <c r="K507" s="128"/>
    </row>
    <row r="508" spans="1:11" s="110" customFormat="1" ht="12.75">
      <c r="A508" s="164">
        <v>40542</v>
      </c>
      <c r="B508" s="127">
        <v>464</v>
      </c>
      <c r="C508" s="131">
        <v>44</v>
      </c>
      <c r="D508" s="216" t="s">
        <v>1051</v>
      </c>
      <c r="E508" s="170">
        <v>-19500</v>
      </c>
      <c r="F508" s="190"/>
      <c r="G508" s="168"/>
      <c r="H508" s="235"/>
      <c r="J508" s="129"/>
      <c r="K508" s="170"/>
    </row>
    <row r="509" spans="1:11" ht="12" customHeight="1">
      <c r="A509" s="74"/>
      <c r="C509" s="1"/>
      <c r="G509" s="5"/>
      <c r="H509" s="110"/>
      <c r="I509" s="110"/>
      <c r="J509" s="129"/>
      <c r="K509" s="128"/>
    </row>
    <row r="510" spans="1:11" ht="12.75">
      <c r="A510" s="74"/>
      <c r="E510" s="73">
        <f>SUM(E470:E509)</f>
        <v>-203443.5</v>
      </c>
      <c r="F510" s="73">
        <f>SUM(F471:F509)</f>
        <v>0</v>
      </c>
      <c r="G510" s="73">
        <f>SUM(E510:F510)</f>
        <v>-203443.5</v>
      </c>
      <c r="I510" s="110"/>
      <c r="J510" s="110"/>
      <c r="K510" s="110"/>
    </row>
    <row r="511" spans="1:11" ht="12.75">
      <c r="A511" s="164"/>
      <c r="I511" s="110"/>
      <c r="J511" s="110"/>
      <c r="K511" s="110"/>
    </row>
    <row r="512" spans="1:9" s="110" customFormat="1" ht="13.5" customHeight="1">
      <c r="A512" s="164">
        <v>40214</v>
      </c>
      <c r="B512" s="127">
        <v>12</v>
      </c>
      <c r="C512" s="131">
        <v>45</v>
      </c>
      <c r="D512" s="110" t="s">
        <v>328</v>
      </c>
      <c r="E512" s="170">
        <f>-18310+3570</f>
        <v>-14740</v>
      </c>
      <c r="F512" s="190"/>
      <c r="G512" s="168"/>
      <c r="H512" s="2"/>
      <c r="I512" s="2"/>
    </row>
    <row r="513" spans="1:9" s="110" customFormat="1" ht="13.5" customHeight="1">
      <c r="A513" s="164">
        <v>40291</v>
      </c>
      <c r="B513" s="127">
        <v>42</v>
      </c>
      <c r="C513" s="131">
        <v>45</v>
      </c>
      <c r="D513" s="149" t="s">
        <v>457</v>
      </c>
      <c r="E513" s="170">
        <v>-875</v>
      </c>
      <c r="F513" s="190"/>
      <c r="G513" s="168"/>
      <c r="H513" s="235"/>
      <c r="I513" s="235"/>
    </row>
    <row r="514" spans="1:9" s="110" customFormat="1" ht="13.5" customHeight="1">
      <c r="A514" s="164">
        <v>40295</v>
      </c>
      <c r="B514" s="127">
        <v>50</v>
      </c>
      <c r="C514" s="131">
        <v>45</v>
      </c>
      <c r="D514" s="149" t="s">
        <v>402</v>
      </c>
      <c r="E514" s="170">
        <v>-1200</v>
      </c>
      <c r="F514" s="190"/>
      <c r="G514" s="168"/>
      <c r="H514" s="235"/>
      <c r="I514" s="235"/>
    </row>
    <row r="515" spans="1:9" s="110" customFormat="1" ht="13.5" customHeight="1">
      <c r="A515" s="164">
        <v>40297</v>
      </c>
      <c r="B515" s="127">
        <v>57</v>
      </c>
      <c r="C515" s="131">
        <v>45</v>
      </c>
      <c r="D515" s="149" t="s">
        <v>419</v>
      </c>
      <c r="E515" s="170">
        <v>-12350</v>
      </c>
      <c r="F515" s="190"/>
      <c r="G515" s="168"/>
      <c r="H515" s="235"/>
      <c r="I515" s="235"/>
    </row>
    <row r="516" spans="1:9" s="110" customFormat="1" ht="13.5" customHeight="1">
      <c r="A516" s="164">
        <v>40319</v>
      </c>
      <c r="B516" s="127">
        <v>100</v>
      </c>
      <c r="C516" s="131">
        <v>45</v>
      </c>
      <c r="D516" s="149" t="s">
        <v>458</v>
      </c>
      <c r="E516" s="170">
        <v>-1200</v>
      </c>
      <c r="F516" s="190"/>
      <c r="G516" s="168"/>
      <c r="H516" s="235"/>
      <c r="I516" s="235"/>
    </row>
    <row r="517" spans="1:9" s="110" customFormat="1" ht="13.5" customHeight="1">
      <c r="A517" s="164">
        <v>40319</v>
      </c>
      <c r="B517" s="127">
        <v>101</v>
      </c>
      <c r="C517" s="131">
        <v>45</v>
      </c>
      <c r="D517" s="149" t="s">
        <v>459</v>
      </c>
      <c r="E517" s="170">
        <v>-678</v>
      </c>
      <c r="F517" s="190"/>
      <c r="G517" s="168"/>
      <c r="H517" s="235"/>
      <c r="I517" s="235"/>
    </row>
    <row r="518" spans="1:9" s="110" customFormat="1" ht="13.5" customHeight="1">
      <c r="A518" s="164">
        <v>40319</v>
      </c>
      <c r="B518" s="127">
        <v>102</v>
      </c>
      <c r="C518" s="131">
        <v>45</v>
      </c>
      <c r="D518" s="149" t="s">
        <v>460</v>
      </c>
      <c r="E518" s="170">
        <v>-930</v>
      </c>
      <c r="F518" s="190"/>
      <c r="G518" s="168"/>
      <c r="H518" s="235"/>
      <c r="I518" s="235"/>
    </row>
    <row r="519" spans="1:9" s="110" customFormat="1" ht="13.5" customHeight="1">
      <c r="A519" s="164">
        <v>40329</v>
      </c>
      <c r="B519" s="127">
        <v>117</v>
      </c>
      <c r="C519" s="131">
        <v>45</v>
      </c>
      <c r="D519" s="149" t="s">
        <v>504</v>
      </c>
      <c r="E519" s="170">
        <v>-210</v>
      </c>
      <c r="F519" s="190"/>
      <c r="G519" s="168"/>
      <c r="H519" s="235"/>
      <c r="I519" s="235"/>
    </row>
    <row r="520" spans="1:9" s="110" customFormat="1" ht="13.5" customHeight="1">
      <c r="A520" s="184">
        <v>40331</v>
      </c>
      <c r="B520" s="127">
        <v>123</v>
      </c>
      <c r="C520" s="131">
        <v>45</v>
      </c>
      <c r="D520" s="149" t="s">
        <v>512</v>
      </c>
      <c r="E520" s="170">
        <v>-5710</v>
      </c>
      <c r="F520" s="190"/>
      <c r="G520" s="168"/>
      <c r="H520" s="235"/>
      <c r="I520" s="235"/>
    </row>
    <row r="521" spans="1:9" s="110" customFormat="1" ht="13.5" customHeight="1">
      <c r="A521" s="184">
        <v>40337</v>
      </c>
      <c r="B521" s="127">
        <v>126</v>
      </c>
      <c r="C521" s="131">
        <v>45</v>
      </c>
      <c r="D521" s="149" t="s">
        <v>522</v>
      </c>
      <c r="E521" s="170">
        <v>-13155</v>
      </c>
      <c r="F521" s="190"/>
      <c r="G521" s="168"/>
      <c r="H521" s="235"/>
      <c r="I521" s="235"/>
    </row>
    <row r="522" spans="1:9" s="110" customFormat="1" ht="13.5" customHeight="1">
      <c r="A522" s="184">
        <v>40339</v>
      </c>
      <c r="B522" s="127">
        <v>141</v>
      </c>
      <c r="C522" s="131">
        <v>45</v>
      </c>
      <c r="D522" s="149" t="s">
        <v>529</v>
      </c>
      <c r="E522" s="170">
        <v>-4642</v>
      </c>
      <c r="F522" s="190"/>
      <c r="G522" s="168"/>
      <c r="H522" s="235"/>
      <c r="I522" s="235"/>
    </row>
    <row r="523" spans="1:9" s="110" customFormat="1" ht="13.5" customHeight="1">
      <c r="A523" s="184">
        <v>40343</v>
      </c>
      <c r="B523" s="127">
        <v>147</v>
      </c>
      <c r="C523" s="131">
        <v>45</v>
      </c>
      <c r="D523" s="149" t="s">
        <v>533</v>
      </c>
      <c r="E523" s="170">
        <v>-6416</v>
      </c>
      <c r="F523" s="190"/>
      <c r="G523" s="168"/>
      <c r="H523" s="235"/>
      <c r="I523" s="235"/>
    </row>
    <row r="524" spans="1:9" s="110" customFormat="1" ht="13.5" customHeight="1">
      <c r="A524" s="184">
        <v>40371</v>
      </c>
      <c r="B524" s="127">
        <v>184</v>
      </c>
      <c r="C524" s="131">
        <v>45</v>
      </c>
      <c r="D524" s="149" t="s">
        <v>657</v>
      </c>
      <c r="E524" s="170">
        <v>-4661</v>
      </c>
      <c r="F524" s="190"/>
      <c r="G524" s="168"/>
      <c r="H524" s="235"/>
      <c r="I524" s="235"/>
    </row>
    <row r="525" spans="1:9" s="110" customFormat="1" ht="13.5" customHeight="1">
      <c r="A525" s="164">
        <v>40381</v>
      </c>
      <c r="B525" s="127">
        <v>196</v>
      </c>
      <c r="C525" s="131">
        <v>45</v>
      </c>
      <c r="D525" s="149" t="s">
        <v>664</v>
      </c>
      <c r="E525" s="170">
        <v>-960</v>
      </c>
      <c r="F525" s="190"/>
      <c r="G525" s="168"/>
      <c r="H525" s="235"/>
      <c r="I525" s="235"/>
    </row>
    <row r="526" spans="1:9" s="110" customFormat="1" ht="13.5" customHeight="1">
      <c r="A526" s="164">
        <v>40399</v>
      </c>
      <c r="B526" s="127">
        <v>205</v>
      </c>
      <c r="C526" s="131">
        <v>45</v>
      </c>
      <c r="D526" s="149" t="s">
        <v>693</v>
      </c>
      <c r="E526" s="170">
        <v>-1200</v>
      </c>
      <c r="F526" s="190"/>
      <c r="G526" s="168"/>
      <c r="H526" s="235"/>
      <c r="I526" s="235"/>
    </row>
    <row r="527" spans="1:9" s="110" customFormat="1" ht="13.5" customHeight="1">
      <c r="A527" s="164">
        <v>40410</v>
      </c>
      <c r="B527" s="127">
        <v>226</v>
      </c>
      <c r="C527" s="131">
        <v>45</v>
      </c>
      <c r="D527" s="149" t="s">
        <v>727</v>
      </c>
      <c r="E527" s="170">
        <v>-525</v>
      </c>
      <c r="F527" s="190"/>
      <c r="G527" s="168"/>
      <c r="H527" s="235"/>
      <c r="I527" s="235"/>
    </row>
    <row r="528" spans="1:9" s="110" customFormat="1" ht="13.5" customHeight="1">
      <c r="A528" s="164">
        <v>40415</v>
      </c>
      <c r="B528" s="127">
        <v>241</v>
      </c>
      <c r="C528" s="131">
        <v>45</v>
      </c>
      <c r="D528" s="149" t="s">
        <v>749</v>
      </c>
      <c r="E528" s="170">
        <v>-37500</v>
      </c>
      <c r="F528" s="190"/>
      <c r="G528" s="168"/>
      <c r="H528" s="235"/>
      <c r="I528" s="235"/>
    </row>
    <row r="529" spans="1:9" s="110" customFormat="1" ht="13.5" customHeight="1">
      <c r="A529" s="164">
        <v>40415</v>
      </c>
      <c r="B529" s="127">
        <v>242</v>
      </c>
      <c r="C529" s="131">
        <v>45</v>
      </c>
      <c r="D529" s="149" t="s">
        <v>750</v>
      </c>
      <c r="E529" s="170">
        <v>-7000</v>
      </c>
      <c r="F529" s="190"/>
      <c r="G529" s="168"/>
      <c r="H529" s="235"/>
      <c r="I529" s="235"/>
    </row>
    <row r="530" spans="1:11" s="110" customFormat="1" ht="12.75">
      <c r="A530" s="164">
        <v>40436</v>
      </c>
      <c r="B530" s="1">
        <v>286</v>
      </c>
      <c r="C530" s="127">
        <v>45</v>
      </c>
      <c r="D530" s="149" t="s">
        <v>792</v>
      </c>
      <c r="E530" s="170">
        <v>-8000</v>
      </c>
      <c r="F530" s="128"/>
      <c r="G530" s="170"/>
      <c r="H530" s="235"/>
      <c r="I530" s="235"/>
      <c r="K530" s="128"/>
    </row>
    <row r="531" spans="1:9" s="110" customFormat="1" ht="13.5" customHeight="1">
      <c r="A531" s="164">
        <v>40476</v>
      </c>
      <c r="B531" s="127">
        <v>347</v>
      </c>
      <c r="C531" s="131">
        <v>45</v>
      </c>
      <c r="D531" s="149" t="s">
        <v>911</v>
      </c>
      <c r="E531" s="170">
        <v>-2600</v>
      </c>
      <c r="F531" s="190"/>
      <c r="G531" s="168"/>
      <c r="H531" s="235"/>
      <c r="I531" s="235"/>
    </row>
    <row r="532" spans="1:9" s="110" customFormat="1" ht="13.5" customHeight="1">
      <c r="A532" s="164">
        <v>40476</v>
      </c>
      <c r="B532" s="127">
        <v>347</v>
      </c>
      <c r="C532" s="131">
        <v>45</v>
      </c>
      <c r="D532" s="149" t="s">
        <v>912</v>
      </c>
      <c r="E532" s="170">
        <v>-1250</v>
      </c>
      <c r="F532" s="190"/>
      <c r="G532" s="168"/>
      <c r="H532" s="235"/>
      <c r="I532" s="235"/>
    </row>
    <row r="533" spans="1:9" s="110" customFormat="1" ht="13.5" customHeight="1">
      <c r="A533" s="164">
        <v>40476</v>
      </c>
      <c r="B533" s="127">
        <v>347</v>
      </c>
      <c r="C533" s="131">
        <v>45</v>
      </c>
      <c r="D533" s="149" t="s">
        <v>913</v>
      </c>
      <c r="E533" s="170">
        <v>-3550</v>
      </c>
      <c r="F533" s="190"/>
      <c r="G533" s="168"/>
      <c r="H533" s="235"/>
      <c r="I533" s="235"/>
    </row>
    <row r="534" spans="1:9" s="110" customFormat="1" ht="13.5" customHeight="1">
      <c r="A534" s="164">
        <v>40494</v>
      </c>
      <c r="B534" s="127">
        <v>368</v>
      </c>
      <c r="C534" s="131">
        <v>45</v>
      </c>
      <c r="D534" s="149" t="s">
        <v>948</v>
      </c>
      <c r="E534" s="170">
        <v>-2000</v>
      </c>
      <c r="F534" s="190"/>
      <c r="G534" s="168"/>
      <c r="H534" s="235"/>
      <c r="I534" s="235"/>
    </row>
    <row r="535" spans="1:9" s="110" customFormat="1" ht="13.5" customHeight="1">
      <c r="A535" s="164">
        <v>40505</v>
      </c>
      <c r="B535" s="127">
        <v>382</v>
      </c>
      <c r="C535" s="131">
        <v>45</v>
      </c>
      <c r="D535" s="149" t="s">
        <v>960</v>
      </c>
      <c r="E535" s="170">
        <v>-1700</v>
      </c>
      <c r="F535" s="190"/>
      <c r="G535" s="168"/>
      <c r="H535" s="235"/>
      <c r="I535" s="235"/>
    </row>
    <row r="536" spans="1:9" s="110" customFormat="1" ht="13.5" customHeight="1">
      <c r="A536" s="164">
        <v>40534</v>
      </c>
      <c r="B536" s="127">
        <v>446</v>
      </c>
      <c r="C536" s="131">
        <v>45</v>
      </c>
      <c r="D536" s="149" t="s">
        <v>1047</v>
      </c>
      <c r="E536" s="170">
        <v>-5500</v>
      </c>
      <c r="F536" s="190"/>
      <c r="G536" s="168"/>
      <c r="H536" s="235"/>
      <c r="I536" s="235"/>
    </row>
    <row r="537" spans="1:9" s="110" customFormat="1" ht="13.5" customHeight="1">
      <c r="A537" s="184">
        <v>40539</v>
      </c>
      <c r="B537" s="127">
        <v>451</v>
      </c>
      <c r="C537" s="131">
        <v>45</v>
      </c>
      <c r="D537" s="149" t="s">
        <v>1031</v>
      </c>
      <c r="E537" s="170">
        <v>-4000</v>
      </c>
      <c r="F537" s="190"/>
      <c r="G537" s="168"/>
      <c r="H537" s="235"/>
      <c r="I537" s="235"/>
    </row>
    <row r="538" spans="1:9" s="110" customFormat="1" ht="13.5" customHeight="1">
      <c r="A538" s="184">
        <v>40539</v>
      </c>
      <c r="B538" s="127">
        <v>453</v>
      </c>
      <c r="C538" s="131">
        <v>45</v>
      </c>
      <c r="D538" s="149" t="s">
        <v>1055</v>
      </c>
      <c r="E538" s="170">
        <v>-758</v>
      </c>
      <c r="F538" s="190"/>
      <c r="G538" s="168"/>
      <c r="H538" s="235"/>
      <c r="I538" s="235"/>
    </row>
    <row r="539" spans="1:9" s="110" customFormat="1" ht="13.5" customHeight="1">
      <c r="A539" s="184">
        <v>40539</v>
      </c>
      <c r="B539" s="127">
        <v>454</v>
      </c>
      <c r="C539" s="131">
        <v>45</v>
      </c>
      <c r="D539" s="149" t="s">
        <v>1056</v>
      </c>
      <c r="E539" s="170">
        <v>-828</v>
      </c>
      <c r="F539" s="190"/>
      <c r="G539" s="168"/>
      <c r="H539" s="235"/>
      <c r="I539" s="235"/>
    </row>
    <row r="540" spans="1:11" s="110" customFormat="1" ht="13.5" customHeight="1">
      <c r="A540" s="184">
        <v>40539</v>
      </c>
      <c r="B540" s="127">
        <v>455</v>
      </c>
      <c r="C540" s="131">
        <v>45</v>
      </c>
      <c r="D540" s="149" t="s">
        <v>1057</v>
      </c>
      <c r="E540" s="170">
        <v>-3642.25</v>
      </c>
      <c r="F540" s="190"/>
      <c r="G540" s="168"/>
      <c r="H540" s="235"/>
      <c r="I540" s="235"/>
      <c r="K540" s="149"/>
    </row>
    <row r="541" spans="1:9" s="110" customFormat="1" ht="13.5" customHeight="1">
      <c r="A541" s="164">
        <v>40540</v>
      </c>
      <c r="B541" s="127">
        <v>462</v>
      </c>
      <c r="C541" s="131">
        <v>45</v>
      </c>
      <c r="D541" s="149" t="s">
        <v>1054</v>
      </c>
      <c r="E541" s="170">
        <v>-5840</v>
      </c>
      <c r="F541" s="190"/>
      <c r="G541" s="168"/>
      <c r="H541" s="235"/>
      <c r="I541" s="235"/>
    </row>
    <row r="542" spans="1:11" ht="12.75">
      <c r="A542" s="75"/>
      <c r="C542" s="1"/>
      <c r="G542" s="5"/>
      <c r="H542" s="2"/>
      <c r="J542" s="9"/>
      <c r="K542" s="5"/>
    </row>
    <row r="543" spans="1:7" ht="12.75">
      <c r="A543" s="74"/>
      <c r="E543" s="73">
        <f>SUM(E512:E542)</f>
        <v>-153620.25</v>
      </c>
      <c r="F543" s="73">
        <f>SUM(F512:F542)</f>
        <v>0</v>
      </c>
      <c r="G543" s="73">
        <f>SUM(E543:F543)</f>
        <v>-153620.25</v>
      </c>
    </row>
    <row r="544" spans="1:12" ht="12.75">
      <c r="A544" s="164"/>
      <c r="E544" s="72"/>
      <c r="F544" s="72"/>
      <c r="H544" s="9"/>
      <c r="I544" s="9"/>
      <c r="J544" s="9"/>
      <c r="K544" s="9"/>
      <c r="L544" s="9"/>
    </row>
    <row r="545" spans="1:8" ht="12.75">
      <c r="A545" s="164">
        <v>40203</v>
      </c>
      <c r="B545" s="127">
        <v>3</v>
      </c>
      <c r="C545" s="4">
        <v>52</v>
      </c>
      <c r="D545" s="71" t="s">
        <v>308</v>
      </c>
      <c r="E545" s="5">
        <v>-1229</v>
      </c>
      <c r="G545" s="5"/>
      <c r="H545" s="2"/>
    </row>
    <row r="546" spans="1:15" ht="12.75">
      <c r="A546" s="164">
        <v>40207</v>
      </c>
      <c r="B546" s="1">
        <v>8</v>
      </c>
      <c r="C546" s="4">
        <v>52</v>
      </c>
      <c r="D546" s="159" t="s">
        <v>320</v>
      </c>
      <c r="E546" s="171">
        <v>-6</v>
      </c>
      <c r="F546" s="7"/>
      <c r="G546" s="60"/>
      <c r="H546" s="2"/>
      <c r="O546" s="10"/>
    </row>
    <row r="547" spans="1:8" ht="12.75">
      <c r="A547" s="164">
        <v>40235</v>
      </c>
      <c r="B547" s="1">
        <v>19</v>
      </c>
      <c r="C547" s="4">
        <v>52</v>
      </c>
      <c r="D547" s="159" t="s">
        <v>337</v>
      </c>
      <c r="E547" s="171">
        <v>-30</v>
      </c>
      <c r="F547" s="7"/>
      <c r="G547" s="60"/>
      <c r="H547" s="2"/>
    </row>
    <row r="548" spans="1:9" s="110" customFormat="1" ht="13.5" customHeight="1">
      <c r="A548" s="164">
        <v>40235</v>
      </c>
      <c r="B548" s="127">
        <v>20</v>
      </c>
      <c r="C548" s="131">
        <v>52</v>
      </c>
      <c r="D548" s="110" t="s">
        <v>340</v>
      </c>
      <c r="E548" s="170">
        <v>-706.23</v>
      </c>
      <c r="F548" s="190"/>
      <c r="G548" s="168"/>
      <c r="H548" s="2"/>
      <c r="I548" s="2"/>
    </row>
    <row r="549" spans="1:8" ht="12.75">
      <c r="A549" s="164">
        <v>40235</v>
      </c>
      <c r="B549" s="1">
        <v>20</v>
      </c>
      <c r="C549" s="4">
        <v>52</v>
      </c>
      <c r="D549" s="159" t="s">
        <v>338</v>
      </c>
      <c r="E549" s="171">
        <v>-30</v>
      </c>
      <c r="F549" s="7"/>
      <c r="G549" s="60"/>
      <c r="H549" s="2"/>
    </row>
    <row r="550" spans="1:8" ht="12.75">
      <c r="A550" s="164">
        <v>40235</v>
      </c>
      <c r="B550" s="1">
        <v>22</v>
      </c>
      <c r="C550" s="4">
        <v>52</v>
      </c>
      <c r="D550" s="159" t="s">
        <v>344</v>
      </c>
      <c r="E550" s="171">
        <v>-10</v>
      </c>
      <c r="F550" s="7"/>
      <c r="G550" s="60"/>
      <c r="H550" s="2"/>
    </row>
    <row r="551" spans="1:8" ht="12.75">
      <c r="A551" s="164">
        <v>40241</v>
      </c>
      <c r="B551" s="1">
        <v>25</v>
      </c>
      <c r="C551" s="4">
        <v>52</v>
      </c>
      <c r="D551" s="216" t="s">
        <v>356</v>
      </c>
      <c r="E551" s="171">
        <v>-30</v>
      </c>
      <c r="F551" s="7"/>
      <c r="G551" s="60"/>
      <c r="H551" s="2"/>
    </row>
    <row r="552" spans="1:8" ht="12.75">
      <c r="A552" s="164">
        <v>40241</v>
      </c>
      <c r="B552" s="127">
        <v>26</v>
      </c>
      <c r="C552" s="4">
        <v>52</v>
      </c>
      <c r="D552" s="159" t="s">
        <v>347</v>
      </c>
      <c r="E552" s="171">
        <v>-30</v>
      </c>
      <c r="F552" s="7"/>
      <c r="G552" s="60"/>
      <c r="H552" s="2"/>
    </row>
    <row r="553" spans="1:8" ht="12.75">
      <c r="A553" s="164">
        <v>40266</v>
      </c>
      <c r="B553" s="127">
        <v>32</v>
      </c>
      <c r="C553" s="4">
        <v>52</v>
      </c>
      <c r="D553" s="216" t="s">
        <v>363</v>
      </c>
      <c r="E553" s="171">
        <v>-50</v>
      </c>
      <c r="F553" s="7"/>
      <c r="G553" s="60"/>
      <c r="H553" s="2"/>
    </row>
    <row r="554" spans="1:13" ht="12.75">
      <c r="A554" s="164">
        <v>40268</v>
      </c>
      <c r="B554" s="1">
        <v>33</v>
      </c>
      <c r="C554" s="4">
        <v>52</v>
      </c>
      <c r="D554" s="159" t="s">
        <v>377</v>
      </c>
      <c r="E554" s="171">
        <v>-12</v>
      </c>
      <c r="F554" s="7"/>
      <c r="G554" s="60"/>
      <c r="H554" s="2"/>
      <c r="L554" s="10"/>
      <c r="M554" s="10"/>
    </row>
    <row r="555" spans="1:14" s="110" customFormat="1" ht="13.5" customHeight="1">
      <c r="A555" s="164">
        <v>40274</v>
      </c>
      <c r="B555" s="127">
        <v>36</v>
      </c>
      <c r="C555" s="131">
        <v>52</v>
      </c>
      <c r="D555" s="149" t="s">
        <v>378</v>
      </c>
      <c r="E555" s="170">
        <v>666.33</v>
      </c>
      <c r="F555" s="190"/>
      <c r="G555" s="168"/>
      <c r="H555" s="2"/>
      <c r="I555" s="2"/>
      <c r="M555" s="249"/>
      <c r="N555" s="2"/>
    </row>
    <row r="556" spans="1:13" ht="12.75">
      <c r="A556" s="164">
        <v>40274</v>
      </c>
      <c r="B556" s="127">
        <v>36</v>
      </c>
      <c r="C556" s="4">
        <v>52</v>
      </c>
      <c r="D556" s="216" t="s">
        <v>379</v>
      </c>
      <c r="E556" s="171">
        <v>-50</v>
      </c>
      <c r="F556" s="7"/>
      <c r="G556" s="60"/>
      <c r="H556" s="2"/>
      <c r="M556" s="10"/>
    </row>
    <row r="557" spans="1:8" ht="12.75">
      <c r="A557" s="164">
        <v>40298</v>
      </c>
      <c r="B557" s="127">
        <v>64</v>
      </c>
      <c r="C557" s="4">
        <v>52</v>
      </c>
      <c r="D557" s="216" t="s">
        <v>424</v>
      </c>
      <c r="E557" s="171">
        <v>-145</v>
      </c>
      <c r="F557" s="7"/>
      <c r="G557" s="60"/>
      <c r="H557" s="2"/>
    </row>
    <row r="558" spans="1:13" ht="12.75">
      <c r="A558" s="164">
        <v>40298</v>
      </c>
      <c r="B558" s="1">
        <v>67</v>
      </c>
      <c r="C558" s="4">
        <v>52</v>
      </c>
      <c r="D558" s="159" t="s">
        <v>427</v>
      </c>
      <c r="E558" s="171">
        <v>-34</v>
      </c>
      <c r="F558" s="7"/>
      <c r="G558" s="60"/>
      <c r="H558" s="2"/>
      <c r="M558" s="10"/>
    </row>
    <row r="559" spans="1:13" ht="12.75">
      <c r="A559" s="164">
        <v>40310</v>
      </c>
      <c r="B559" s="1">
        <v>84</v>
      </c>
      <c r="C559" s="1">
        <v>52</v>
      </c>
      <c r="D559" s="126" t="s">
        <v>442</v>
      </c>
      <c r="E559" s="5">
        <v>-30</v>
      </c>
      <c r="G559" s="5"/>
      <c r="H559" s="235"/>
      <c r="I559" s="235"/>
      <c r="J559" s="129"/>
      <c r="K559" s="128"/>
      <c r="L559" s="110"/>
      <c r="M559" s="169"/>
    </row>
    <row r="560" spans="1:14" ht="12.75">
      <c r="A560" s="164">
        <v>40317</v>
      </c>
      <c r="B560" s="1">
        <v>93</v>
      </c>
      <c r="C560" s="1">
        <v>52</v>
      </c>
      <c r="D560" s="126" t="s">
        <v>453</v>
      </c>
      <c r="E560" s="5">
        <v>-30</v>
      </c>
      <c r="G560" s="5"/>
      <c r="H560" s="235"/>
      <c r="I560" s="235"/>
      <c r="J560" s="129"/>
      <c r="K560" s="128"/>
      <c r="L560" s="110"/>
      <c r="M560" s="169"/>
      <c r="N560" s="169"/>
    </row>
    <row r="561" spans="1:8" ht="12.75">
      <c r="A561" s="164">
        <v>40329</v>
      </c>
      <c r="B561" s="1">
        <v>119</v>
      </c>
      <c r="C561" s="4">
        <v>52</v>
      </c>
      <c r="D561" s="159" t="s">
        <v>510</v>
      </c>
      <c r="E561" s="171">
        <v>-46</v>
      </c>
      <c r="F561" s="7"/>
      <c r="G561" s="60"/>
      <c r="H561" s="2"/>
    </row>
    <row r="562" spans="1:8" ht="12.75">
      <c r="A562" s="164">
        <v>40359</v>
      </c>
      <c r="B562" s="1">
        <v>172</v>
      </c>
      <c r="C562" s="4">
        <v>52</v>
      </c>
      <c r="D562" s="216" t="s">
        <v>627</v>
      </c>
      <c r="E562" s="171">
        <v>-50</v>
      </c>
      <c r="F562" s="7"/>
      <c r="G562" s="60"/>
      <c r="H562" s="2"/>
    </row>
    <row r="563" spans="1:14" ht="12.75">
      <c r="A563" s="164">
        <v>40360</v>
      </c>
      <c r="B563" s="1">
        <v>173</v>
      </c>
      <c r="C563" s="1">
        <v>52</v>
      </c>
      <c r="D563" s="126" t="s">
        <v>629</v>
      </c>
      <c r="E563" s="5">
        <v>-30</v>
      </c>
      <c r="G563" s="5"/>
      <c r="H563" s="235"/>
      <c r="I563" s="235"/>
      <c r="J563" s="129"/>
      <c r="K563" s="128"/>
      <c r="L563" s="110"/>
      <c r="M563" s="169"/>
      <c r="N563" s="169"/>
    </row>
    <row r="564" spans="1:11" s="126" customFormat="1" ht="12.75">
      <c r="A564" s="164">
        <v>40365</v>
      </c>
      <c r="B564" s="185">
        <v>183</v>
      </c>
      <c r="C564" s="185">
        <v>52</v>
      </c>
      <c r="D564" s="126" t="s">
        <v>656</v>
      </c>
      <c r="E564" s="171">
        <v>1000</v>
      </c>
      <c r="F564" s="171"/>
      <c r="G564" s="171"/>
      <c r="H564" s="126" t="s">
        <v>15</v>
      </c>
      <c r="J564" s="240"/>
      <c r="K564" s="171"/>
    </row>
    <row r="565" spans="1:11" s="126" customFormat="1" ht="12.75">
      <c r="A565" s="164">
        <v>40375</v>
      </c>
      <c r="B565" s="185">
        <v>192</v>
      </c>
      <c r="C565" s="185">
        <v>52</v>
      </c>
      <c r="D565" s="126" t="s">
        <v>663</v>
      </c>
      <c r="E565" s="171">
        <v>-1000</v>
      </c>
      <c r="F565" s="171"/>
      <c r="G565" s="171"/>
      <c r="H565" s="126" t="s">
        <v>15</v>
      </c>
      <c r="J565" s="240"/>
      <c r="K565" s="171"/>
    </row>
    <row r="566" spans="1:7" s="126" customFormat="1" ht="12.75">
      <c r="A566" s="184">
        <v>40390</v>
      </c>
      <c r="B566" s="185">
        <v>201</v>
      </c>
      <c r="C566" s="247">
        <v>52</v>
      </c>
      <c r="D566" s="216" t="s">
        <v>685</v>
      </c>
      <c r="E566" s="171">
        <v>-26</v>
      </c>
      <c r="F566" s="254"/>
      <c r="G566" s="255"/>
    </row>
    <row r="567" spans="1:10" s="110" customFormat="1" ht="12.75">
      <c r="A567" s="164">
        <v>40406</v>
      </c>
      <c r="B567" s="127">
        <v>212</v>
      </c>
      <c r="C567" s="131">
        <v>52</v>
      </c>
      <c r="D567" s="149" t="s">
        <v>708</v>
      </c>
      <c r="E567" s="170">
        <v>-120</v>
      </c>
      <c r="F567" s="190"/>
      <c r="G567" s="168"/>
      <c r="J567" s="129"/>
    </row>
    <row r="568" spans="1:7" s="126" customFormat="1" ht="12.75">
      <c r="A568" s="184">
        <v>40421</v>
      </c>
      <c r="B568" s="185">
        <v>257</v>
      </c>
      <c r="C568" s="247">
        <v>52</v>
      </c>
      <c r="D568" s="216" t="s">
        <v>789</v>
      </c>
      <c r="E568" s="171">
        <v>-38</v>
      </c>
      <c r="F568" s="254"/>
      <c r="G568" s="255"/>
    </row>
    <row r="569" spans="1:10" s="110" customFormat="1" ht="12.75">
      <c r="A569" s="164">
        <v>40434</v>
      </c>
      <c r="B569" s="127">
        <v>279</v>
      </c>
      <c r="C569" s="131">
        <v>52</v>
      </c>
      <c r="D569" s="149" t="s">
        <v>799</v>
      </c>
      <c r="E569" s="170">
        <v>-100</v>
      </c>
      <c r="F569" s="190"/>
      <c r="G569" s="168"/>
      <c r="J569" s="129"/>
    </row>
    <row r="570" spans="1:14" ht="12.75">
      <c r="A570" s="164">
        <v>40435</v>
      </c>
      <c r="B570" s="1">
        <v>281</v>
      </c>
      <c r="C570" s="1">
        <v>52</v>
      </c>
      <c r="D570" s="126" t="s">
        <v>453</v>
      </c>
      <c r="E570" s="5">
        <v>-30</v>
      </c>
      <c r="G570" s="5"/>
      <c r="H570" s="235"/>
      <c r="I570" s="235"/>
      <c r="J570" s="129"/>
      <c r="K570" s="128"/>
      <c r="L570" s="110"/>
      <c r="M570" s="169"/>
      <c r="N570" s="169"/>
    </row>
    <row r="571" spans="1:9" s="149" customFormat="1" ht="13.5" customHeight="1">
      <c r="A571" s="184">
        <v>40443</v>
      </c>
      <c r="B571" s="123">
        <v>300</v>
      </c>
      <c r="C571" s="241" t="s">
        <v>843</v>
      </c>
      <c r="D571" s="149" t="s">
        <v>863</v>
      </c>
      <c r="E571" s="170">
        <v>570</v>
      </c>
      <c r="F571" s="199"/>
      <c r="G571" s="200"/>
      <c r="H571" s="126"/>
      <c r="I571" s="126"/>
    </row>
    <row r="572" spans="1:14" ht="12.75">
      <c r="A572" s="164">
        <v>40448</v>
      </c>
      <c r="B572" s="1">
        <v>312</v>
      </c>
      <c r="C572" s="1">
        <v>52</v>
      </c>
      <c r="D572" s="126" t="s">
        <v>845</v>
      </c>
      <c r="E572" s="5">
        <v>-30</v>
      </c>
      <c r="G572" s="5"/>
      <c r="H572" s="235"/>
      <c r="I572" s="235"/>
      <c r="J572" s="129"/>
      <c r="K572" s="128"/>
      <c r="L572" s="110"/>
      <c r="M572" s="169"/>
      <c r="N572" s="169"/>
    </row>
    <row r="573" spans="1:9" s="149" customFormat="1" ht="13.5" customHeight="1">
      <c r="A573" s="184">
        <v>40450</v>
      </c>
      <c r="B573" s="123">
        <v>313</v>
      </c>
      <c r="C573" s="241" t="s">
        <v>843</v>
      </c>
      <c r="D573" s="149" t="s">
        <v>864</v>
      </c>
      <c r="E573" s="170">
        <v>-570</v>
      </c>
      <c r="F573" s="199"/>
      <c r="G573" s="200"/>
      <c r="H573" s="126"/>
      <c r="I573" s="126"/>
    </row>
    <row r="574" spans="1:7" s="126" customFormat="1" ht="12.75">
      <c r="A574" s="184">
        <v>40451</v>
      </c>
      <c r="B574" s="185">
        <v>316</v>
      </c>
      <c r="C574" s="247">
        <v>52</v>
      </c>
      <c r="D574" s="216" t="s">
        <v>865</v>
      </c>
      <c r="E574" s="171">
        <v>-30</v>
      </c>
      <c r="F574" s="254"/>
      <c r="G574" s="255"/>
    </row>
    <row r="575" spans="1:7" s="126" customFormat="1" ht="12.75">
      <c r="A575" s="184">
        <v>40452</v>
      </c>
      <c r="B575" s="185">
        <v>318</v>
      </c>
      <c r="C575" s="247">
        <v>52</v>
      </c>
      <c r="D575" s="216" t="s">
        <v>866</v>
      </c>
      <c r="E575" s="171">
        <v>-464</v>
      </c>
      <c r="F575" s="254"/>
      <c r="G575" s="255"/>
    </row>
    <row r="576" spans="1:10" s="110" customFormat="1" ht="12.75">
      <c r="A576" s="164">
        <v>40457</v>
      </c>
      <c r="B576" s="127">
        <v>328</v>
      </c>
      <c r="C576" s="131">
        <v>52</v>
      </c>
      <c r="D576" s="149" t="s">
        <v>886</v>
      </c>
      <c r="E576" s="170">
        <v>-85</v>
      </c>
      <c r="F576" s="190"/>
      <c r="G576" s="168"/>
      <c r="J576" s="129"/>
    </row>
    <row r="577" spans="1:14" ht="12.75">
      <c r="A577" s="164">
        <v>40476</v>
      </c>
      <c r="B577" s="1">
        <v>345</v>
      </c>
      <c r="C577" s="1">
        <v>52</v>
      </c>
      <c r="D577" s="126" t="s">
        <v>938</v>
      </c>
      <c r="E577" s="5">
        <v>-30</v>
      </c>
      <c r="G577" s="5"/>
      <c r="H577" s="235"/>
      <c r="I577" s="235"/>
      <c r="J577" s="129"/>
      <c r="K577" s="128"/>
      <c r="L577" s="110"/>
      <c r="M577" s="169"/>
      <c r="N577" s="169"/>
    </row>
    <row r="578" spans="1:7" s="126" customFormat="1" ht="12.75">
      <c r="A578" s="184">
        <v>40207</v>
      </c>
      <c r="B578" s="185">
        <v>359</v>
      </c>
      <c r="C578" s="247">
        <v>52</v>
      </c>
      <c r="D578" s="216" t="s">
        <v>947</v>
      </c>
      <c r="E578" s="171">
        <v>-52</v>
      </c>
      <c r="F578" s="254"/>
      <c r="G578" s="255"/>
    </row>
    <row r="579" spans="1:9" s="149" customFormat="1" ht="13.5" customHeight="1">
      <c r="A579" s="164">
        <v>40504</v>
      </c>
      <c r="B579" s="123">
        <v>381</v>
      </c>
      <c r="C579" s="188">
        <v>52</v>
      </c>
      <c r="D579" s="248" t="s">
        <v>976</v>
      </c>
      <c r="E579" s="170">
        <v>495</v>
      </c>
      <c r="F579" s="199"/>
      <c r="G579" s="200"/>
      <c r="H579" s="126"/>
      <c r="I579" s="126"/>
    </row>
    <row r="580" spans="1:8" ht="12.75">
      <c r="A580" s="20">
        <v>40512</v>
      </c>
      <c r="B580" s="1">
        <v>399</v>
      </c>
      <c r="C580" s="1">
        <v>52</v>
      </c>
      <c r="D580" s="248" t="s">
        <v>990</v>
      </c>
      <c r="E580" s="5">
        <v>-495</v>
      </c>
      <c r="G580" s="1"/>
      <c r="H580" s="2"/>
    </row>
    <row r="581" spans="1:7" s="126" customFormat="1" ht="12.75">
      <c r="A581" s="184">
        <v>40512</v>
      </c>
      <c r="B581" s="185">
        <v>401</v>
      </c>
      <c r="C581" s="247">
        <v>52</v>
      </c>
      <c r="D581" s="216" t="s">
        <v>1001</v>
      </c>
      <c r="E581" s="171">
        <v>-42</v>
      </c>
      <c r="F581" s="254"/>
      <c r="G581" s="255"/>
    </row>
    <row r="582" spans="1:14" ht="12.75">
      <c r="A582" s="164">
        <v>40522</v>
      </c>
      <c r="B582" s="1">
        <v>411</v>
      </c>
      <c r="C582" s="1">
        <v>52</v>
      </c>
      <c r="D582" s="126" t="s">
        <v>938</v>
      </c>
      <c r="E582" s="171">
        <v>-30</v>
      </c>
      <c r="G582" s="5"/>
      <c r="H582" s="235"/>
      <c r="I582" s="235"/>
      <c r="J582" s="129"/>
      <c r="K582" s="128"/>
      <c r="L582" s="110"/>
      <c r="M582" s="169"/>
      <c r="N582" s="169"/>
    </row>
    <row r="583" spans="1:8" ht="12.75">
      <c r="A583" s="164">
        <v>40526</v>
      </c>
      <c r="B583" s="1">
        <v>422</v>
      </c>
      <c r="C583" s="4">
        <v>52</v>
      </c>
      <c r="D583" s="216" t="s">
        <v>1026</v>
      </c>
      <c r="E583" s="171">
        <v>-420</v>
      </c>
      <c r="F583" s="7"/>
      <c r="G583" s="60"/>
      <c r="H583" s="2"/>
    </row>
    <row r="584" spans="1:8" ht="12.75">
      <c r="A584" s="164">
        <v>40526</v>
      </c>
      <c r="B584" s="1">
        <v>423</v>
      </c>
      <c r="C584" s="4">
        <v>52</v>
      </c>
      <c r="D584" s="216" t="s">
        <v>1027</v>
      </c>
      <c r="E584" s="171">
        <v>-138.5</v>
      </c>
      <c r="F584" s="7"/>
      <c r="G584" s="60"/>
      <c r="H584" s="2"/>
    </row>
    <row r="585" spans="1:7" s="126" customFormat="1" ht="12.75">
      <c r="A585" s="184">
        <v>40543</v>
      </c>
      <c r="B585" s="185">
        <v>469</v>
      </c>
      <c r="C585" s="247">
        <v>52</v>
      </c>
      <c r="D585" s="216" t="s">
        <v>1068</v>
      </c>
      <c r="E585" s="171">
        <v>-76</v>
      </c>
      <c r="F585" s="254"/>
      <c r="G585" s="255"/>
    </row>
    <row r="586" spans="1:10" s="110" customFormat="1" ht="12.75">
      <c r="A586" s="164">
        <v>40543</v>
      </c>
      <c r="B586" s="127">
        <v>471</v>
      </c>
      <c r="C586" s="188">
        <v>52</v>
      </c>
      <c r="D586" s="149" t="s">
        <v>1070</v>
      </c>
      <c r="E586" s="170">
        <v>-385</v>
      </c>
      <c r="F586" s="190"/>
      <c r="G586" s="168"/>
      <c r="H586" s="244"/>
      <c r="J586" s="129"/>
    </row>
    <row r="588" spans="1:8" ht="12.75">
      <c r="A588" s="74"/>
      <c r="D588" s="71"/>
      <c r="G588" s="5"/>
      <c r="H588" s="2"/>
    </row>
    <row r="589" spans="1:14" ht="12.75">
      <c r="A589" s="74"/>
      <c r="E589" s="73">
        <f>SUM(E545:E588)</f>
        <v>-3978.4</v>
      </c>
      <c r="F589" s="73">
        <f>SUM(F545:F588)</f>
        <v>0</v>
      </c>
      <c r="G589" s="73">
        <f>SUM(E589:F589)</f>
        <v>-3978.4</v>
      </c>
      <c r="H589" s="9"/>
      <c r="I589" s="9"/>
      <c r="J589" s="9"/>
      <c r="K589" s="9"/>
      <c r="L589" s="9"/>
      <c r="N589" s="10"/>
    </row>
    <row r="590" spans="1:12" ht="12.75">
      <c r="A590" s="164"/>
      <c r="E590" s="72"/>
      <c r="F590" s="72"/>
      <c r="H590" s="9"/>
      <c r="I590" s="9"/>
      <c r="J590" s="9"/>
      <c r="K590" s="9"/>
      <c r="L590" s="9"/>
    </row>
    <row r="591" spans="1:8" ht="12.75">
      <c r="A591" s="164">
        <v>40259</v>
      </c>
      <c r="B591" s="1">
        <v>30</v>
      </c>
      <c r="C591" s="4">
        <v>55</v>
      </c>
      <c r="D591" s="216" t="s">
        <v>368</v>
      </c>
      <c r="E591" s="171">
        <v>-149</v>
      </c>
      <c r="F591" s="7"/>
      <c r="G591" s="60"/>
      <c r="H591" s="2"/>
    </row>
    <row r="592" spans="1:8" ht="12.75">
      <c r="A592" s="164">
        <v>40259</v>
      </c>
      <c r="B592" s="1">
        <v>31</v>
      </c>
      <c r="C592" s="4">
        <v>55</v>
      </c>
      <c r="D592" s="216" t="s">
        <v>366</v>
      </c>
      <c r="E592" s="171">
        <v>-2139.67</v>
      </c>
      <c r="F592" s="7"/>
      <c r="G592" s="60"/>
      <c r="H592" s="2"/>
    </row>
    <row r="593" spans="1:8" ht="12.75">
      <c r="A593" s="164">
        <v>40290</v>
      </c>
      <c r="B593" s="1">
        <v>40</v>
      </c>
      <c r="C593" s="4">
        <v>55</v>
      </c>
      <c r="D593" s="216" t="s">
        <v>385</v>
      </c>
      <c r="E593" s="171">
        <v>-568</v>
      </c>
      <c r="F593" s="7"/>
      <c r="G593" s="60"/>
      <c r="H593" s="2"/>
    </row>
    <row r="594" spans="1:8" ht="12.75">
      <c r="A594" s="164">
        <v>40290</v>
      </c>
      <c r="B594" s="1">
        <v>41</v>
      </c>
      <c r="C594" s="4">
        <v>55</v>
      </c>
      <c r="D594" s="216" t="s">
        <v>386</v>
      </c>
      <c r="E594" s="171">
        <v>-295</v>
      </c>
      <c r="F594" s="7"/>
      <c r="G594" s="60"/>
      <c r="H594" s="2"/>
    </row>
    <row r="595" spans="1:8" ht="12.75">
      <c r="A595" s="164">
        <v>40365</v>
      </c>
      <c r="B595" s="1">
        <v>179</v>
      </c>
      <c r="C595" s="4">
        <v>55</v>
      </c>
      <c r="D595" s="216" t="s">
        <v>650</v>
      </c>
      <c r="E595" s="171">
        <v>-1548.5</v>
      </c>
      <c r="F595" s="7"/>
      <c r="G595" s="60"/>
      <c r="H595" s="2"/>
    </row>
    <row r="596" spans="1:8" ht="12.75">
      <c r="A596" s="164">
        <v>40543</v>
      </c>
      <c r="B596" s="1">
        <v>467</v>
      </c>
      <c r="C596" s="4">
        <v>55</v>
      </c>
      <c r="D596" s="216" t="s">
        <v>1063</v>
      </c>
      <c r="E596" s="171">
        <v>-40299.83</v>
      </c>
      <c r="F596" s="7"/>
      <c r="G596" s="60"/>
      <c r="H596" s="2"/>
    </row>
    <row r="597" spans="1:8" ht="12.75">
      <c r="A597" s="74"/>
      <c r="C597" s="1"/>
      <c r="G597" s="5"/>
      <c r="H597" s="2"/>
    </row>
    <row r="598" spans="1:12" ht="12.75">
      <c r="A598" s="74"/>
      <c r="E598" s="73">
        <f>SUM(E591:E597)</f>
        <v>-45000</v>
      </c>
      <c r="F598" s="73">
        <f>SUM(F591:F597)</f>
        <v>0</v>
      </c>
      <c r="G598" s="73">
        <f>SUM(E598:F598)</f>
        <v>-45000</v>
      </c>
      <c r="H598" s="9"/>
      <c r="I598" s="9"/>
      <c r="J598" s="9"/>
      <c r="K598" s="9"/>
      <c r="L598" s="9"/>
    </row>
    <row r="599" spans="1:12" ht="12.75">
      <c r="A599" s="164"/>
      <c r="E599" s="72"/>
      <c r="F599" s="72"/>
      <c r="H599" s="9"/>
      <c r="I599" s="9"/>
      <c r="J599" s="9"/>
      <c r="K599" s="9"/>
      <c r="L599" s="9"/>
    </row>
    <row r="600" spans="1:9" s="110" customFormat="1" ht="12.75">
      <c r="A600" s="164">
        <v>40308</v>
      </c>
      <c r="B600" s="127">
        <v>82</v>
      </c>
      <c r="C600" s="131">
        <v>64</v>
      </c>
      <c r="D600" s="149" t="s">
        <v>439</v>
      </c>
      <c r="E600" s="170">
        <v>-78337.5</v>
      </c>
      <c r="F600" s="190"/>
      <c r="G600" s="169"/>
      <c r="H600" s="2"/>
      <c r="I600" s="2"/>
    </row>
    <row r="601" spans="1:9" s="110" customFormat="1" ht="12.75">
      <c r="A601" s="164">
        <v>40308</v>
      </c>
      <c r="B601" s="127">
        <v>83</v>
      </c>
      <c r="C601" s="131">
        <v>64</v>
      </c>
      <c r="D601" s="149" t="s">
        <v>440</v>
      </c>
      <c r="E601" s="170">
        <v>-632.5</v>
      </c>
      <c r="F601" s="190"/>
      <c r="G601" s="169"/>
      <c r="H601" s="2"/>
      <c r="I601" s="2"/>
    </row>
    <row r="602" spans="1:9" s="110" customFormat="1" ht="12.75">
      <c r="A602" s="164">
        <v>40421</v>
      </c>
      <c r="B602" s="127">
        <v>254</v>
      </c>
      <c r="C602" s="131">
        <v>64</v>
      </c>
      <c r="D602" s="149" t="s">
        <v>760</v>
      </c>
      <c r="E602" s="170">
        <v>-31103</v>
      </c>
      <c r="F602" s="190"/>
      <c r="G602" s="169"/>
      <c r="H602" s="2"/>
      <c r="I602" s="2"/>
    </row>
    <row r="603" spans="1:9" s="110" customFormat="1" ht="12.75">
      <c r="A603" s="164">
        <v>40421</v>
      </c>
      <c r="B603" s="127">
        <v>255</v>
      </c>
      <c r="C603" s="131">
        <v>64</v>
      </c>
      <c r="D603" s="149" t="s">
        <v>761</v>
      </c>
      <c r="E603" s="170">
        <v>2200</v>
      </c>
      <c r="F603" s="190"/>
      <c r="G603" s="169"/>
      <c r="H603" s="2"/>
      <c r="I603" s="2"/>
    </row>
    <row r="604" spans="1:9" s="110" customFormat="1" ht="12.75">
      <c r="A604" s="164">
        <v>40429</v>
      </c>
      <c r="B604" s="127">
        <v>272</v>
      </c>
      <c r="C604" s="131">
        <v>64</v>
      </c>
      <c r="D604" s="149" t="s">
        <v>790</v>
      </c>
      <c r="E604" s="170">
        <v>-11199</v>
      </c>
      <c r="F604" s="190"/>
      <c r="G604" s="169"/>
      <c r="H604" s="235"/>
      <c r="I604" s="235"/>
    </row>
    <row r="605" spans="1:9" s="110" customFormat="1" ht="12.75">
      <c r="A605" s="164">
        <v>40477</v>
      </c>
      <c r="B605" s="127">
        <v>349</v>
      </c>
      <c r="C605" s="131">
        <v>64</v>
      </c>
      <c r="D605" s="149" t="s">
        <v>914</v>
      </c>
      <c r="E605" s="170">
        <v>-18062.5</v>
      </c>
      <c r="F605" s="190"/>
      <c r="G605" s="169"/>
      <c r="H605" s="235"/>
      <c r="I605" s="235"/>
    </row>
    <row r="606" spans="1:9" s="110" customFormat="1" ht="12.75">
      <c r="A606" s="164">
        <v>40478</v>
      </c>
      <c r="B606" s="127">
        <v>352</v>
      </c>
      <c r="C606" s="131">
        <v>64</v>
      </c>
      <c r="D606" s="149" t="s">
        <v>910</v>
      </c>
      <c r="E606" s="170">
        <v>-6170</v>
      </c>
      <c r="F606" s="190"/>
      <c r="G606" s="169"/>
      <c r="H606" s="235"/>
      <c r="I606" s="235"/>
    </row>
    <row r="607" spans="1:8" ht="12.75">
      <c r="A607" s="74"/>
      <c r="C607" s="1"/>
      <c r="G607" s="5"/>
      <c r="H607" s="2"/>
    </row>
    <row r="608" spans="1:12" ht="12.75">
      <c r="A608" s="74"/>
      <c r="E608" s="73">
        <f>SUM(E600:E607)</f>
        <v>-143304.5</v>
      </c>
      <c r="F608" s="73">
        <f>SUM(F600:F600)</f>
        <v>0</v>
      </c>
      <c r="G608" s="73">
        <f>SUM(E608:F608)</f>
        <v>-143304.5</v>
      </c>
      <c r="H608" s="9"/>
      <c r="I608" s="9"/>
      <c r="J608" s="9"/>
      <c r="K608" s="9"/>
      <c r="L608" s="9"/>
    </row>
    <row r="609" spans="1:12" ht="12.75">
      <c r="A609" s="74"/>
      <c r="H609" s="9"/>
      <c r="I609" s="9"/>
      <c r="J609" s="9"/>
      <c r="K609" s="9"/>
      <c r="L609" s="9"/>
    </row>
    <row r="610" spans="1:8" ht="12.75">
      <c r="A610" s="74">
        <v>40280</v>
      </c>
      <c r="B610" s="1">
        <v>38</v>
      </c>
      <c r="C610" s="4">
        <v>72</v>
      </c>
      <c r="D610" s="149" t="s">
        <v>380</v>
      </c>
      <c r="E610" s="5">
        <v>-4500</v>
      </c>
      <c r="F610" s="7"/>
      <c r="G610" s="60"/>
      <c r="H610" s="2"/>
    </row>
    <row r="611" spans="1:11" ht="12.75">
      <c r="A611" s="74"/>
      <c r="C611" s="1"/>
      <c r="G611" s="5"/>
      <c r="H611" s="2"/>
      <c r="J611" s="9"/>
      <c r="K611" s="5"/>
    </row>
    <row r="612" spans="1:12" ht="12.75">
      <c r="A612" s="74"/>
      <c r="E612" s="73">
        <f>SUM(E610:E610)</f>
        <v>-4500</v>
      </c>
      <c r="F612" s="73">
        <f>SUM(F610:F610)</f>
        <v>0</v>
      </c>
      <c r="G612" s="73">
        <f>SUM(E612:F612)</f>
        <v>-4500</v>
      </c>
      <c r="H612" s="9"/>
      <c r="I612" s="9"/>
      <c r="J612" s="9"/>
      <c r="K612" s="9"/>
      <c r="L612" s="9"/>
    </row>
    <row r="613" spans="1:12" ht="12.75">
      <c r="A613" s="164"/>
      <c r="E613" s="72"/>
      <c r="F613" s="72"/>
      <c r="H613" s="9"/>
      <c r="I613" s="9"/>
      <c r="J613" s="9"/>
      <c r="K613" s="9"/>
      <c r="L613" s="9"/>
    </row>
    <row r="614" spans="1:10" s="110" customFormat="1" ht="12.75">
      <c r="A614" s="164">
        <v>40543</v>
      </c>
      <c r="B614" s="127">
        <v>470</v>
      </c>
      <c r="C614" s="131">
        <v>80</v>
      </c>
      <c r="D614" s="149" t="s">
        <v>1069</v>
      </c>
      <c r="E614" s="170">
        <v>82.65</v>
      </c>
      <c r="F614" s="190"/>
      <c r="G614" s="168"/>
      <c r="J614" s="129"/>
    </row>
    <row r="615" spans="1:12" ht="12.75">
      <c r="A615" s="74"/>
      <c r="H615" s="9"/>
      <c r="I615" s="9"/>
      <c r="J615" s="9"/>
      <c r="K615" s="9"/>
      <c r="L615" s="9"/>
    </row>
    <row r="616" spans="1:12" ht="12.75">
      <c r="A616" s="74"/>
      <c r="E616" s="73">
        <f>SUM(E614:E615)</f>
        <v>82.65</v>
      </c>
      <c r="F616" s="73">
        <f>SUM(F614:F615)</f>
        <v>0</v>
      </c>
      <c r="G616" s="73">
        <f>SUM(E616:F616)</f>
        <v>82.65</v>
      </c>
      <c r="H616" s="9"/>
      <c r="I616" s="9"/>
      <c r="J616" s="9"/>
      <c r="K616" s="9"/>
      <c r="L616" s="9"/>
    </row>
    <row r="617" spans="1:12" ht="12.75">
      <c r="A617" s="74"/>
      <c r="E617" s="72"/>
      <c r="F617" s="72"/>
      <c r="H617" s="9"/>
      <c r="I617" s="9"/>
      <c r="J617" s="9"/>
      <c r="K617" s="9"/>
      <c r="L617" s="9"/>
    </row>
    <row r="618" spans="1:12" ht="12.75">
      <c r="A618" s="74"/>
      <c r="G618" s="73">
        <f>SUM(G6:G616)</f>
        <v>31273.540000000045</v>
      </c>
      <c r="H618" s="73"/>
      <c r="I618" s="9"/>
      <c r="J618" s="9"/>
      <c r="K618" s="9"/>
      <c r="L618" s="9"/>
    </row>
    <row r="619" spans="1:12" ht="12.75">
      <c r="A619" s="20"/>
      <c r="H619" s="9"/>
      <c r="I619" s="5"/>
      <c r="J619" s="5"/>
      <c r="K619" s="5"/>
      <c r="L619" s="5"/>
    </row>
    <row r="620" spans="1:12" ht="12.75">
      <c r="A620" s="20"/>
      <c r="H620" s="9"/>
      <c r="I620" s="5"/>
      <c r="J620" s="5"/>
      <c r="K620" s="5"/>
      <c r="L620" s="5"/>
    </row>
    <row r="621" spans="1:12" ht="12.75">
      <c r="A621" s="20"/>
      <c r="H621" s="9"/>
      <c r="I621" s="9"/>
      <c r="J621" s="9"/>
      <c r="K621" s="9"/>
      <c r="L621" s="9"/>
    </row>
    <row r="622" spans="1:12" ht="12.75">
      <c r="A622" s="20"/>
      <c r="H622" s="9"/>
      <c r="I622" s="9"/>
      <c r="J622" s="9"/>
      <c r="K622" s="9"/>
      <c r="L622" s="9"/>
    </row>
    <row r="623" spans="1:12" ht="12.75">
      <c r="A623" s="20"/>
      <c r="H623" s="9"/>
      <c r="I623" s="9"/>
      <c r="J623" s="9"/>
      <c r="K623" s="9"/>
      <c r="L623" s="9"/>
    </row>
    <row r="624" spans="1:12" ht="12.75">
      <c r="A624" s="20"/>
      <c r="H624" s="9"/>
      <c r="I624" s="9"/>
      <c r="J624" s="9"/>
      <c r="K624" s="9"/>
      <c r="L624" s="9"/>
    </row>
    <row r="625" spans="1:12" ht="12.75">
      <c r="A625" s="20"/>
      <c r="H625" s="9"/>
      <c r="I625" s="9"/>
      <c r="J625" s="9"/>
      <c r="K625" s="9"/>
      <c r="L625" s="9"/>
    </row>
    <row r="626" spans="1:12" ht="12.75">
      <c r="A626" s="20"/>
      <c r="H626" s="9"/>
      <c r="I626" s="9"/>
      <c r="J626" s="9"/>
      <c r="K626" s="9"/>
      <c r="L626" s="9"/>
    </row>
    <row r="627" spans="1:12" ht="12.75">
      <c r="A627" s="20"/>
      <c r="H627" s="9"/>
      <c r="I627" s="5"/>
      <c r="J627" s="5"/>
      <c r="K627" s="5"/>
      <c r="L627" s="5"/>
    </row>
    <row r="628" spans="1:12" ht="12.75">
      <c r="A628" s="20"/>
      <c r="H628" s="9"/>
      <c r="I628" s="5"/>
      <c r="J628" s="5"/>
      <c r="K628" s="5"/>
      <c r="L628" s="5"/>
    </row>
    <row r="629" spans="1:12" ht="12.75">
      <c r="A629" s="20"/>
      <c r="H629" s="9"/>
      <c r="I629" s="5"/>
      <c r="J629" s="5"/>
      <c r="K629" s="5"/>
      <c r="L629" s="5"/>
    </row>
    <row r="630" spans="1:12" ht="12.75">
      <c r="A630" s="20"/>
      <c r="H630" s="9"/>
      <c r="I630" s="5"/>
      <c r="J630" s="5"/>
      <c r="K630" s="5"/>
      <c r="L630" s="5"/>
    </row>
    <row r="631" spans="1:12" ht="12.75">
      <c r="A631" s="20"/>
      <c r="H631" s="9"/>
      <c r="I631" s="5"/>
      <c r="J631" s="5"/>
      <c r="K631" s="5"/>
      <c r="L631" s="5"/>
    </row>
    <row r="632" spans="1:12" ht="12.75">
      <c r="A632" s="20"/>
      <c r="H632" s="9"/>
      <c r="I632" s="9"/>
      <c r="J632" s="9"/>
      <c r="K632" s="9"/>
      <c r="L632" s="9"/>
    </row>
    <row r="633" spans="1:12" ht="12.75">
      <c r="A633" s="20"/>
      <c r="H633" s="9"/>
      <c r="I633" s="5"/>
      <c r="J633" s="5"/>
      <c r="K633" s="5"/>
      <c r="L633" s="5"/>
    </row>
    <row r="634" spans="1:12" ht="12.75">
      <c r="A634" s="20"/>
      <c r="H634" s="9"/>
      <c r="I634" s="9"/>
      <c r="J634" s="9"/>
      <c r="K634" s="9"/>
      <c r="L634" s="9"/>
    </row>
    <row r="635" spans="1:12" ht="12.75">
      <c r="A635" s="20"/>
      <c r="H635" s="9"/>
      <c r="I635" s="5"/>
      <c r="J635" s="5"/>
      <c r="K635" s="5"/>
      <c r="L635" s="5"/>
    </row>
    <row r="636" spans="1:12" ht="12.75">
      <c r="A636" s="20"/>
      <c r="H636" s="9"/>
      <c r="I636" s="5"/>
      <c r="J636" s="5"/>
      <c r="K636" s="5"/>
      <c r="L636" s="5"/>
    </row>
    <row r="637" spans="1:12" ht="12.75">
      <c r="A637" s="20"/>
      <c r="H637" s="9"/>
      <c r="I637" s="9"/>
      <c r="J637" s="9"/>
      <c r="K637" s="9"/>
      <c r="L637" s="9"/>
    </row>
    <row r="638" spans="1:12" ht="12.75">
      <c r="A638" s="20"/>
      <c r="H638" s="9"/>
      <c r="I638" s="9"/>
      <c r="J638" s="9"/>
      <c r="K638" s="9"/>
      <c r="L638" s="9"/>
    </row>
    <row r="639" spans="1:12" ht="12.75">
      <c r="A639" s="20"/>
      <c r="H639" s="9"/>
      <c r="I639" s="9"/>
      <c r="J639" s="9"/>
      <c r="K639" s="9"/>
      <c r="L639" s="9"/>
    </row>
    <row r="640" spans="1:12" ht="12.75">
      <c r="A640" s="20"/>
      <c r="H640" s="9"/>
      <c r="I640" s="9"/>
      <c r="J640" s="9"/>
      <c r="K640" s="9"/>
      <c r="L640" s="9"/>
    </row>
    <row r="641" spans="1:12" ht="12.75">
      <c r="A641" s="20"/>
      <c r="H641" s="9"/>
      <c r="I641" s="9"/>
      <c r="J641" s="9"/>
      <c r="K641" s="9"/>
      <c r="L641" s="9"/>
    </row>
    <row r="642" spans="1:12" ht="12.75">
      <c r="A642" s="20"/>
      <c r="H642" s="9"/>
      <c r="I642" s="9"/>
      <c r="J642" s="9"/>
      <c r="K642" s="9"/>
      <c r="L642" s="9"/>
    </row>
    <row r="643" spans="1:12" ht="12.75">
      <c r="A643" s="20"/>
      <c r="H643" s="9"/>
      <c r="I643" s="5"/>
      <c r="J643" s="5"/>
      <c r="K643" s="5"/>
      <c r="L643" s="5"/>
    </row>
    <row r="644" spans="1:12" ht="12.75">
      <c r="A644" s="20"/>
      <c r="H644" s="9"/>
      <c r="I644" s="9"/>
      <c r="J644" s="9"/>
      <c r="K644" s="9"/>
      <c r="L644" s="9"/>
    </row>
    <row r="645" spans="1:12" ht="12.75">
      <c r="A645" s="20"/>
      <c r="H645" s="9"/>
      <c r="I645" s="9"/>
      <c r="J645" s="9"/>
      <c r="K645" s="9"/>
      <c r="L645" s="9"/>
    </row>
    <row r="646" spans="1:12" ht="12.75">
      <c r="A646" s="20"/>
      <c r="H646" s="9"/>
      <c r="I646" s="9"/>
      <c r="J646" s="9"/>
      <c r="K646" s="9"/>
      <c r="L646" s="9"/>
    </row>
    <row r="647" spans="1:12" ht="12.75">
      <c r="A647" s="20"/>
      <c r="H647" s="9"/>
      <c r="I647" s="9"/>
      <c r="J647" s="9"/>
      <c r="K647" s="9"/>
      <c r="L647" s="9"/>
    </row>
    <row r="648" spans="1:12" ht="12.75">
      <c r="A648" s="20"/>
      <c r="H648" s="9"/>
      <c r="I648" s="5"/>
      <c r="J648" s="5"/>
      <c r="K648" s="5"/>
      <c r="L648" s="5"/>
    </row>
    <row r="649" spans="1:12" ht="12.75">
      <c r="A649" s="20"/>
      <c r="H649" s="9"/>
      <c r="I649" s="5"/>
      <c r="J649" s="5"/>
      <c r="K649" s="5"/>
      <c r="L649" s="5"/>
    </row>
    <row r="650" spans="1:12" ht="12.75">
      <c r="A650" s="20"/>
      <c r="H650" s="9"/>
      <c r="I650" s="5"/>
      <c r="J650" s="5"/>
      <c r="K650" s="5"/>
      <c r="L650" s="5"/>
    </row>
    <row r="651" spans="1:12" ht="12.75">
      <c r="A651" s="20"/>
      <c r="H651" s="9"/>
      <c r="I651" s="5"/>
      <c r="J651" s="5"/>
      <c r="K651" s="5"/>
      <c r="L651" s="5"/>
    </row>
    <row r="652" spans="1:12" ht="12.75">
      <c r="A652" s="20"/>
      <c r="H652" s="9"/>
      <c r="I652" s="5"/>
      <c r="J652" s="5"/>
      <c r="K652" s="5"/>
      <c r="L652" s="5"/>
    </row>
    <row r="653" spans="1:12" ht="12.75">
      <c r="A653" s="20"/>
      <c r="H653" s="9"/>
      <c r="I653" s="9"/>
      <c r="J653" s="9"/>
      <c r="K653" s="9"/>
      <c r="L653" s="9"/>
    </row>
    <row r="654" spans="1:12" ht="12.75">
      <c r="A654" s="20"/>
      <c r="H654" s="9"/>
      <c r="I654" s="9"/>
      <c r="J654" s="9"/>
      <c r="K654" s="9"/>
      <c r="L654" s="9"/>
    </row>
    <row r="655" spans="1:12" ht="12.75">
      <c r="A655" s="20"/>
      <c r="H655" s="9"/>
      <c r="I655" s="9"/>
      <c r="J655" s="9"/>
      <c r="K655" s="9"/>
      <c r="L655" s="9"/>
    </row>
    <row r="656" spans="1:12" ht="12.75">
      <c r="A656" s="20"/>
      <c r="H656" s="9"/>
      <c r="I656" s="9"/>
      <c r="J656" s="9"/>
      <c r="K656" s="9"/>
      <c r="L656" s="9"/>
    </row>
    <row r="657" spans="1:12" ht="12.75">
      <c r="A657" s="20"/>
      <c r="H657" s="9"/>
      <c r="I657" s="5"/>
      <c r="J657" s="5"/>
      <c r="K657" s="5"/>
      <c r="L657" s="5"/>
    </row>
    <row r="658" spans="1:12" ht="12.75">
      <c r="A658" s="20"/>
      <c r="H658" s="9"/>
      <c r="I658" s="9"/>
      <c r="J658" s="9"/>
      <c r="K658" s="9"/>
      <c r="L658" s="9"/>
    </row>
    <row r="659" spans="1:12" ht="12.75">
      <c r="A659" s="20"/>
      <c r="H659" s="9"/>
      <c r="I659" s="9"/>
      <c r="J659" s="9"/>
      <c r="K659" s="9"/>
      <c r="L659" s="9"/>
    </row>
    <row r="660" spans="1:12" ht="12.75">
      <c r="A660" s="20"/>
      <c r="H660" s="9"/>
      <c r="I660" s="9"/>
      <c r="J660" s="9"/>
      <c r="K660" s="9"/>
      <c r="L660" s="9"/>
    </row>
    <row r="661" spans="1:12" ht="12.75">
      <c r="A661" s="20"/>
      <c r="H661" s="9"/>
      <c r="I661" s="9"/>
      <c r="J661" s="9"/>
      <c r="K661" s="9"/>
      <c r="L661" s="9"/>
    </row>
    <row r="662" spans="1:12" ht="12.75">
      <c r="A662" s="20"/>
      <c r="H662" s="9"/>
      <c r="I662" s="5"/>
      <c r="J662" s="5"/>
      <c r="K662" s="5"/>
      <c r="L662" s="5"/>
    </row>
    <row r="663" spans="1:12" ht="12.75">
      <c r="A663" s="20"/>
      <c r="H663" s="9"/>
      <c r="I663" s="5"/>
      <c r="J663" s="5"/>
      <c r="K663" s="5"/>
      <c r="L663" s="5"/>
    </row>
    <row r="664" spans="1:12" ht="12.75">
      <c r="A664" s="20"/>
      <c r="H664" s="9"/>
      <c r="I664" s="9"/>
      <c r="J664" s="9"/>
      <c r="K664" s="9"/>
      <c r="L664" s="9"/>
    </row>
    <row r="665" spans="1:12" ht="12.75">
      <c r="A665" s="20"/>
      <c r="H665" s="9"/>
      <c r="I665" s="9"/>
      <c r="J665" s="9"/>
      <c r="K665" s="9"/>
      <c r="L665" s="9"/>
    </row>
    <row r="666" spans="1:12" ht="12.75">
      <c r="A666" s="20"/>
      <c r="H666" s="9"/>
      <c r="I666" s="9"/>
      <c r="J666" s="9"/>
      <c r="K666" s="9"/>
      <c r="L666" s="9"/>
    </row>
    <row r="667" spans="1:12" ht="12.75">
      <c r="A667" s="20"/>
      <c r="H667" s="9"/>
      <c r="I667" s="9"/>
      <c r="J667" s="9"/>
      <c r="K667" s="9"/>
      <c r="L667" s="9"/>
    </row>
    <row r="668" spans="1:12" ht="12.75">
      <c r="A668" s="20"/>
      <c r="H668" s="9"/>
      <c r="I668" s="9"/>
      <c r="J668" s="9"/>
      <c r="K668" s="9"/>
      <c r="L668" s="9"/>
    </row>
    <row r="669" spans="1:12" ht="12.75">
      <c r="A669" s="20"/>
      <c r="H669" s="9"/>
      <c r="I669" s="9"/>
      <c r="J669" s="9"/>
      <c r="K669" s="9"/>
      <c r="L669" s="9"/>
    </row>
    <row r="670" spans="1:12" ht="12.75">
      <c r="A670" s="20"/>
      <c r="H670" s="9"/>
      <c r="I670" s="9"/>
      <c r="J670" s="9"/>
      <c r="K670" s="9"/>
      <c r="L670" s="9"/>
    </row>
    <row r="671" spans="1:12" ht="12.75">
      <c r="A671" s="20"/>
      <c r="H671" s="9"/>
      <c r="I671" s="9"/>
      <c r="J671" s="9"/>
      <c r="K671" s="9"/>
      <c r="L671" s="9"/>
    </row>
    <row r="672" spans="1:12" ht="12.75">
      <c r="A672" s="20"/>
      <c r="H672" s="9"/>
      <c r="I672" s="9"/>
      <c r="J672" s="9"/>
      <c r="K672" s="9"/>
      <c r="L672" s="9"/>
    </row>
    <row r="673" spans="1:12" ht="12.75">
      <c r="A673" s="20"/>
      <c r="H673" s="9"/>
      <c r="I673" s="9"/>
      <c r="J673" s="9"/>
      <c r="K673" s="9"/>
      <c r="L673" s="9"/>
    </row>
    <row r="674" spans="1:12" ht="12.75">
      <c r="A674" s="20"/>
      <c r="H674" s="9"/>
      <c r="I674" s="9"/>
      <c r="J674" s="9"/>
      <c r="K674" s="9"/>
      <c r="L674" s="9"/>
    </row>
    <row r="675" spans="1:12" ht="12.75">
      <c r="A675" s="20"/>
      <c r="I675" s="9"/>
      <c r="J675" s="9"/>
      <c r="K675" s="9"/>
      <c r="L675" s="9"/>
    </row>
    <row r="676" spans="1:12" ht="12.75">
      <c r="A676" s="20"/>
      <c r="I676" s="9"/>
      <c r="J676" s="9"/>
      <c r="K676" s="9"/>
      <c r="L676" s="9"/>
    </row>
    <row r="677" spans="1:12" ht="12.75">
      <c r="A677" s="20"/>
      <c r="I677" s="9"/>
      <c r="J677" s="9"/>
      <c r="K677" s="9"/>
      <c r="L677" s="9"/>
    </row>
    <row r="678" spans="1:12" ht="12.75">
      <c r="A678" s="20"/>
      <c r="H678" s="9"/>
      <c r="I678" s="9"/>
      <c r="J678" s="9"/>
      <c r="K678" s="9"/>
      <c r="L678" s="9"/>
    </row>
    <row r="679" spans="1:12" ht="12.75">
      <c r="A679" s="20"/>
      <c r="H679" s="9"/>
      <c r="I679" s="9"/>
      <c r="J679" s="9"/>
      <c r="K679" s="9"/>
      <c r="L679" s="9"/>
    </row>
    <row r="680" spans="1:12" ht="12.75">
      <c r="A680" s="20"/>
      <c r="H680" s="9"/>
      <c r="I680" s="9"/>
      <c r="J680" s="9"/>
      <c r="K680" s="9"/>
      <c r="L680" s="9"/>
    </row>
    <row r="681" spans="1:12" ht="12.75">
      <c r="A681" s="20"/>
      <c r="H681" s="9"/>
      <c r="I681" s="9"/>
      <c r="J681" s="9"/>
      <c r="K681" s="9"/>
      <c r="L681" s="9"/>
    </row>
    <row r="682" spans="1:10" ht="12.75">
      <c r="A682" s="20"/>
      <c r="I682" s="9"/>
      <c r="J682" s="9"/>
    </row>
    <row r="683" spans="1:10" ht="12.75">
      <c r="A683" s="20"/>
      <c r="J683" s="9"/>
    </row>
    <row r="684" spans="1:8" ht="12.75">
      <c r="A684" s="20"/>
      <c r="H684" s="44" t="s">
        <v>15</v>
      </c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spans="1:7" ht="12.75">
      <c r="A706" s="20"/>
      <c r="G706" s="73"/>
    </row>
    <row r="707" spans="1:7" ht="12.75">
      <c r="A707" s="20"/>
      <c r="G707" s="73"/>
    </row>
    <row r="708" spans="1:7" ht="12.75">
      <c r="A708" s="20"/>
      <c r="G708" s="73"/>
    </row>
    <row r="709" spans="1:7" ht="12.75">
      <c r="A709" s="20"/>
      <c r="G709" s="73"/>
    </row>
    <row r="710" spans="1:7" ht="12.75">
      <c r="A710" s="20"/>
      <c r="G710" s="73"/>
    </row>
    <row r="711" spans="1:7" ht="12.75">
      <c r="A711" s="20"/>
      <c r="G711" s="73"/>
    </row>
    <row r="712" spans="1:7" ht="12.75">
      <c r="A712" s="20"/>
      <c r="G712" s="73"/>
    </row>
    <row r="713" spans="1:7" ht="12.75">
      <c r="A713" s="20"/>
      <c r="G713" s="73"/>
    </row>
    <row r="714" spans="1:7" ht="12.75">
      <c r="A714" s="20"/>
      <c r="G714" s="73"/>
    </row>
    <row r="715" spans="1:7" ht="12.75">
      <c r="A715" s="20"/>
      <c r="G715" s="73"/>
    </row>
    <row r="716" spans="1:7" ht="12.75">
      <c r="A716" s="20"/>
      <c r="G716" s="73"/>
    </row>
    <row r="717" spans="1:7" ht="12.75">
      <c r="A717" s="20"/>
      <c r="G717" s="73"/>
    </row>
    <row r="718" spans="1:7" ht="12.75">
      <c r="A718" s="20"/>
      <c r="G718" s="73"/>
    </row>
    <row r="719" spans="1:7" ht="12.75">
      <c r="A719" s="20"/>
      <c r="G719" s="73"/>
    </row>
    <row r="720" spans="1:7" ht="12.75">
      <c r="A720" s="20"/>
      <c r="G720" s="73"/>
    </row>
    <row r="721" spans="1:7" ht="12.75">
      <c r="A721" s="20"/>
      <c r="G721" s="73"/>
    </row>
    <row r="722" spans="1:7" ht="12.75">
      <c r="A722" s="20"/>
      <c r="G722" s="73"/>
    </row>
    <row r="723" spans="1:10" ht="12.75">
      <c r="A723" s="20"/>
      <c r="G723" s="73"/>
      <c r="J723" s="2" t="s">
        <v>15</v>
      </c>
    </row>
    <row r="724" spans="1:7" ht="12.75">
      <c r="A724" s="20"/>
      <c r="G724" s="73"/>
    </row>
    <row r="725" spans="1:7" ht="12.75">
      <c r="A725" s="20"/>
      <c r="G725" s="73"/>
    </row>
    <row r="726" spans="1:7" ht="12.75">
      <c r="A726" s="20"/>
      <c r="G726" s="73"/>
    </row>
    <row r="727" spans="1:7" ht="12.75">
      <c r="A727" s="20"/>
      <c r="G727" s="73"/>
    </row>
    <row r="728" spans="1:7" ht="12.75">
      <c r="A728" s="20"/>
      <c r="G728" s="73"/>
    </row>
    <row r="729" spans="1:7" ht="12.75">
      <c r="A729" s="20"/>
      <c r="G729" s="73"/>
    </row>
    <row r="730" spans="1:7" ht="12.75">
      <c r="A730" s="20"/>
      <c r="G730" s="73"/>
    </row>
    <row r="731" spans="1:7" ht="12.75">
      <c r="A731" s="20"/>
      <c r="G731" s="73"/>
    </row>
    <row r="732" ht="12.75">
      <c r="G732" s="73"/>
    </row>
    <row r="733" spans="1:7" ht="12.75">
      <c r="A733" s="20"/>
      <c r="G733" s="73"/>
    </row>
    <row r="734" spans="1:7" ht="12.75">
      <c r="A734" s="20"/>
      <c r="G734" s="73"/>
    </row>
    <row r="735" spans="1:7" ht="12.75">
      <c r="A735" s="20"/>
      <c r="G735" s="73"/>
    </row>
    <row r="736" spans="1:7" ht="12.75">
      <c r="A736" s="20"/>
      <c r="G736" s="73"/>
    </row>
    <row r="737" spans="1:7" ht="12.75">
      <c r="A737" s="20"/>
      <c r="G737" s="73"/>
    </row>
    <row r="738" spans="1:7" ht="12.75">
      <c r="A738" s="20"/>
      <c r="G738" s="73"/>
    </row>
    <row r="739" spans="1:7" ht="12.75">
      <c r="A739" s="20"/>
      <c r="G739" s="73"/>
    </row>
    <row r="740" spans="1:7" ht="12.75">
      <c r="A740" s="20"/>
      <c r="G740" s="73"/>
    </row>
    <row r="741" spans="1:7" ht="12.75">
      <c r="A741" s="20"/>
      <c r="G741" s="73"/>
    </row>
    <row r="742" ht="12.75">
      <c r="G742" s="73"/>
    </row>
    <row r="743" spans="7:8" ht="12.75">
      <c r="G743" s="73"/>
      <c r="H743" s="9"/>
    </row>
    <row r="744" ht="12.75">
      <c r="G744" s="73"/>
    </row>
    <row r="745" spans="1:7" ht="12.75">
      <c r="A745" s="20"/>
      <c r="G745" s="73"/>
    </row>
    <row r="746" spans="1:7" ht="12.75">
      <c r="A746" s="20"/>
      <c r="G746" s="73"/>
    </row>
    <row r="747" spans="1:7" ht="12.75">
      <c r="A747" s="20"/>
      <c r="G747" s="73"/>
    </row>
    <row r="748" spans="1:7" ht="12.75">
      <c r="A748" s="20"/>
      <c r="G748" s="73"/>
    </row>
    <row r="749" spans="1:7" ht="12.75">
      <c r="A749" s="20"/>
      <c r="G749" s="73"/>
    </row>
    <row r="750" spans="1:7" ht="12.75">
      <c r="A750" s="20"/>
      <c r="G750" s="73"/>
    </row>
    <row r="751" spans="1:7" ht="12.75">
      <c r="A751" s="20"/>
      <c r="G751" s="73"/>
    </row>
    <row r="752" spans="1:7" ht="12.75">
      <c r="A752" s="20"/>
      <c r="G752" s="73"/>
    </row>
    <row r="753" spans="1:7" ht="12.75">
      <c r="A753" s="20"/>
      <c r="G753" s="73"/>
    </row>
    <row r="754" spans="1:7" ht="12.75">
      <c r="A754" s="20"/>
      <c r="G754" s="73"/>
    </row>
    <row r="755" spans="1:7" ht="12.75">
      <c r="A755" s="20"/>
      <c r="G755" s="73"/>
    </row>
    <row r="756" spans="1:7" ht="12.75">
      <c r="A756" s="20"/>
      <c r="G756" s="73"/>
    </row>
    <row r="757" spans="1:7" ht="12.75">
      <c r="A757" s="20"/>
      <c r="G757" s="73"/>
    </row>
    <row r="758" spans="1:7" ht="12.75">
      <c r="A758" s="20"/>
      <c r="G758" s="73"/>
    </row>
    <row r="759" ht="12.75">
      <c r="G759" s="73"/>
    </row>
    <row r="760" spans="1:7" ht="12.75">
      <c r="A760" s="20"/>
      <c r="G760" s="73"/>
    </row>
    <row r="761" spans="1:7" ht="12.75">
      <c r="A761" s="20"/>
      <c r="G761" s="73"/>
    </row>
    <row r="762" spans="1:7" ht="12.75">
      <c r="A762" s="20"/>
      <c r="G762" s="73"/>
    </row>
    <row r="763" spans="1:7" ht="12.75">
      <c r="A763" s="20"/>
      <c r="G763" s="73"/>
    </row>
    <row r="764" spans="1:7" ht="12.75">
      <c r="A764" s="20"/>
      <c r="G764" s="73"/>
    </row>
    <row r="765" spans="1:7" ht="12.75">
      <c r="A765" s="20"/>
      <c r="G765" s="73"/>
    </row>
    <row r="766" spans="1:7" ht="12.75">
      <c r="A766" s="20"/>
      <c r="G766" s="73"/>
    </row>
    <row r="767" spans="1:7" ht="12.75">
      <c r="A767" s="20"/>
      <c r="G767" s="73"/>
    </row>
    <row r="768" spans="1:7" ht="12.75">
      <c r="A768" s="20"/>
      <c r="G768" s="73"/>
    </row>
    <row r="769" spans="1:7" ht="12.75">
      <c r="A769" s="20"/>
      <c r="G769" s="73"/>
    </row>
    <row r="770" ht="12.75">
      <c r="G770" s="73"/>
    </row>
    <row r="771" ht="12.75">
      <c r="G771" s="73"/>
    </row>
    <row r="772" spans="1:7" ht="12.75">
      <c r="A772" s="20"/>
      <c r="G772" s="73"/>
    </row>
    <row r="773" spans="1:7" ht="12.75">
      <c r="A773" s="20"/>
      <c r="G773" s="73"/>
    </row>
    <row r="774" spans="1:7" ht="12.75">
      <c r="A774" s="20"/>
      <c r="G774" s="73"/>
    </row>
    <row r="775" spans="1:7" ht="12.75">
      <c r="A775" s="20"/>
      <c r="G775" s="73"/>
    </row>
    <row r="776" spans="1:7" ht="12.75">
      <c r="A776" s="20"/>
      <c r="G776" s="73"/>
    </row>
    <row r="777" ht="12.75">
      <c r="G777" s="73"/>
    </row>
    <row r="778" ht="12.75">
      <c r="G778" s="73"/>
    </row>
    <row r="779" spans="1:7" ht="12.75">
      <c r="A779" s="20"/>
      <c r="G779" s="73"/>
    </row>
    <row r="780" spans="1:7" ht="12.75">
      <c r="A780" s="20"/>
      <c r="G780" s="73"/>
    </row>
    <row r="781" spans="1:7" ht="12.75">
      <c r="A781" s="20"/>
      <c r="G781" s="73"/>
    </row>
    <row r="782" spans="1:7" ht="12.75">
      <c r="A782" s="20"/>
      <c r="G782" s="73"/>
    </row>
    <row r="783" spans="1:7" ht="12.75">
      <c r="A783" s="20"/>
      <c r="G783" s="73"/>
    </row>
    <row r="784" spans="1:7" ht="12.75">
      <c r="A784" s="20"/>
      <c r="G784" s="73"/>
    </row>
    <row r="785" spans="1:7" ht="12.75">
      <c r="A785" s="20"/>
      <c r="G785" s="73"/>
    </row>
    <row r="786" spans="1:7" ht="12.75">
      <c r="A786" s="20"/>
      <c r="G786" s="73"/>
    </row>
    <row r="787" spans="1:7" ht="12.75">
      <c r="A787" s="20"/>
      <c r="G787" s="73"/>
    </row>
    <row r="788" spans="1:7" ht="12.75">
      <c r="A788" s="20"/>
      <c r="G788" s="73"/>
    </row>
    <row r="789" spans="1:7" ht="12.75">
      <c r="A789" s="20"/>
      <c r="G789" s="73"/>
    </row>
    <row r="790" spans="1:7" ht="12.75">
      <c r="A790" s="20"/>
      <c r="G790" s="73"/>
    </row>
    <row r="791" spans="1:7" ht="12.75">
      <c r="A791" s="20"/>
      <c r="G791" s="73"/>
    </row>
    <row r="792" spans="1:7" ht="12.75">
      <c r="A792" s="20"/>
      <c r="G792" s="73"/>
    </row>
    <row r="793" spans="1:7" ht="12.75">
      <c r="A793" s="20"/>
      <c r="G793" s="73"/>
    </row>
    <row r="794" spans="1:7" ht="12.75">
      <c r="A794" s="20"/>
      <c r="G794" s="73"/>
    </row>
    <row r="795" ht="12.75">
      <c r="G795" s="73"/>
    </row>
    <row r="796" spans="1:7" ht="12.75">
      <c r="A796" s="20"/>
      <c r="G796" s="73"/>
    </row>
    <row r="797" spans="1:7" ht="12.75">
      <c r="A797" s="20"/>
      <c r="G797" s="73"/>
    </row>
    <row r="798" spans="1:7" ht="12.75">
      <c r="A798" s="20"/>
      <c r="G798" s="73"/>
    </row>
    <row r="799" spans="1:7" ht="12.75">
      <c r="A799" s="20"/>
      <c r="G799" s="73"/>
    </row>
    <row r="800" ht="12.75">
      <c r="G800" s="73"/>
    </row>
    <row r="801" spans="1:7" ht="12.75">
      <c r="A801" s="20"/>
      <c r="G801" s="73"/>
    </row>
    <row r="802" spans="1:7" ht="12.75">
      <c r="A802" s="20"/>
      <c r="G802" s="73"/>
    </row>
    <row r="803" spans="7:8" ht="12.75">
      <c r="G803" s="73"/>
      <c r="H803" s="44" t="s">
        <v>15</v>
      </c>
    </row>
    <row r="813" ht="12.75">
      <c r="I813" s="9"/>
    </row>
    <row r="814" ht="12.75">
      <c r="I814" s="9"/>
    </row>
    <row r="815" ht="12.75">
      <c r="I815" s="9"/>
    </row>
    <row r="816" ht="12.75">
      <c r="I816" s="9"/>
    </row>
    <row r="817" ht="12.75">
      <c r="I817" s="9"/>
    </row>
    <row r="818" ht="12.75">
      <c r="I818" s="9"/>
    </row>
    <row r="819" ht="12.75">
      <c r="I819" s="9"/>
    </row>
    <row r="820" ht="12.75">
      <c r="I820" s="9"/>
    </row>
    <row r="821" ht="12.75">
      <c r="I821" s="9"/>
    </row>
    <row r="822" ht="12.75">
      <c r="I822" s="9"/>
    </row>
    <row r="823" ht="12.75">
      <c r="I823" s="9"/>
    </row>
    <row r="824" ht="12.75">
      <c r="I824" s="9"/>
    </row>
    <row r="825" ht="12.75">
      <c r="I825" s="9"/>
    </row>
    <row r="826" ht="12.75">
      <c r="I826" s="9"/>
    </row>
    <row r="827" ht="12.75">
      <c r="I827" s="9"/>
    </row>
    <row r="828" ht="12.75">
      <c r="I828" s="9"/>
    </row>
    <row r="829" ht="12.75">
      <c r="I829" s="9"/>
    </row>
    <row r="830" ht="12.75">
      <c r="I830" s="9"/>
    </row>
    <row r="831" ht="12.75">
      <c r="I831" s="9"/>
    </row>
    <row r="832" ht="12.75">
      <c r="I832" s="5"/>
    </row>
    <row r="833" ht="12.75">
      <c r="I833" s="5"/>
    </row>
    <row r="834" ht="12.75">
      <c r="I834" s="9"/>
    </row>
    <row r="835" ht="12.75">
      <c r="I835" s="9"/>
    </row>
    <row r="836" ht="12.75">
      <c r="I836" s="9"/>
    </row>
    <row r="837" ht="12.75">
      <c r="I837" s="9"/>
    </row>
    <row r="838" ht="12.75">
      <c r="I838" s="9"/>
    </row>
    <row r="839" ht="12.75">
      <c r="I839" s="9"/>
    </row>
    <row r="840" ht="12.75">
      <c r="I840" s="9"/>
    </row>
    <row r="841" ht="12.75">
      <c r="I841" s="5"/>
    </row>
    <row r="842" ht="12.75">
      <c r="I842" s="5"/>
    </row>
    <row r="843" ht="12.75">
      <c r="I843" s="5"/>
    </row>
    <row r="844" ht="12.75">
      <c r="I844" s="5"/>
    </row>
    <row r="845" ht="12.75">
      <c r="I845" s="5"/>
    </row>
    <row r="846" ht="12.75">
      <c r="I846" s="9"/>
    </row>
    <row r="847" ht="12.75">
      <c r="I847" s="5"/>
    </row>
    <row r="848" ht="12.75">
      <c r="I848" s="9"/>
    </row>
    <row r="849" ht="12.75">
      <c r="I849" s="5"/>
    </row>
    <row r="850" ht="12.75">
      <c r="I850" s="5"/>
    </row>
    <row r="851" ht="12.75">
      <c r="I851" s="9"/>
    </row>
    <row r="852" ht="12.75">
      <c r="I852" s="9"/>
    </row>
    <row r="853" ht="12.75">
      <c r="I853" s="9"/>
    </row>
    <row r="854" ht="12.75">
      <c r="I854" s="9"/>
    </row>
    <row r="855" ht="12.75">
      <c r="I855" s="9"/>
    </row>
    <row r="856" ht="12.75">
      <c r="I856" s="9"/>
    </row>
    <row r="857" ht="12.75">
      <c r="I857" s="5"/>
    </row>
    <row r="858" ht="12.75">
      <c r="I858" s="9"/>
    </row>
    <row r="859" ht="12.75">
      <c r="I859" s="9"/>
    </row>
    <row r="860" ht="12.75">
      <c r="I860" s="9"/>
    </row>
    <row r="861" ht="12.75">
      <c r="I861" s="9"/>
    </row>
    <row r="862" ht="12.75">
      <c r="I862" s="5"/>
    </row>
    <row r="863" ht="12.75">
      <c r="I863" s="5"/>
    </row>
    <row r="864" ht="12.75">
      <c r="I864" s="5"/>
    </row>
    <row r="865" ht="12.75">
      <c r="I865" s="5"/>
    </row>
    <row r="866" ht="12.75">
      <c r="I866" s="5"/>
    </row>
    <row r="867" ht="12.75">
      <c r="I867" s="9"/>
    </row>
    <row r="868" ht="12.75">
      <c r="I868" s="9"/>
    </row>
    <row r="869" ht="12.75">
      <c r="I869" s="9"/>
    </row>
    <row r="870" ht="12.75">
      <c r="I870" s="9"/>
    </row>
    <row r="871" ht="12.75">
      <c r="I871" s="5"/>
    </row>
    <row r="872" ht="12.75">
      <c r="I872" s="9"/>
    </row>
    <row r="873" ht="12.75">
      <c r="I873" s="9"/>
    </row>
    <row r="874" ht="12.75">
      <c r="I874" s="9"/>
    </row>
    <row r="875" ht="12.75">
      <c r="I875" s="9"/>
    </row>
    <row r="876" ht="12.75">
      <c r="I876" s="5"/>
    </row>
    <row r="877" ht="12.75">
      <c r="I877" s="5"/>
    </row>
    <row r="878" ht="12.75">
      <c r="I878" s="9"/>
    </row>
    <row r="879" ht="12.75">
      <c r="I879" s="9"/>
    </row>
    <row r="880" ht="12.75">
      <c r="I880" s="9"/>
    </row>
    <row r="881" ht="12.75">
      <c r="I881" s="9"/>
    </row>
    <row r="882" ht="12.75">
      <c r="I882" s="9"/>
    </row>
    <row r="883" ht="12.75">
      <c r="I883" s="9"/>
    </row>
    <row r="884" ht="12.75">
      <c r="I884" s="9"/>
    </row>
    <row r="885" ht="12.75">
      <c r="I885" s="9"/>
    </row>
    <row r="886" ht="12.75">
      <c r="I886" s="9"/>
    </row>
    <row r="887" ht="12.75">
      <c r="I887" s="9"/>
    </row>
    <row r="888" ht="12.75">
      <c r="I888" s="9"/>
    </row>
    <row r="889" ht="12.75">
      <c r="I889" s="9"/>
    </row>
    <row r="890" ht="12.75">
      <c r="I890" s="9"/>
    </row>
    <row r="891" ht="12.75">
      <c r="I891" s="9"/>
    </row>
    <row r="892" ht="12.75">
      <c r="I892" s="9"/>
    </row>
    <row r="893" ht="12.75">
      <c r="I893" s="9"/>
    </row>
    <row r="894" ht="12.75">
      <c r="I894" s="9"/>
    </row>
  </sheetData>
  <sheetProtection/>
  <printOptions/>
  <pageMargins left="0.15" right="0.14" top="0.69" bottom="0.55" header="0.19" footer="0.49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="75" zoomScaleNormal="75" zoomScalePageLayoutView="0" workbookViewId="0" topLeftCell="A1">
      <selection activeCell="A12" sqref="A12:B12"/>
    </sheetView>
  </sheetViews>
  <sheetFormatPr defaultColWidth="11.421875" defaultRowHeight="12.75"/>
  <cols>
    <col min="1" max="1" width="9.28125" style="2" customWidth="1"/>
    <col min="2" max="2" width="34.8515625" style="2" customWidth="1"/>
    <col min="3" max="3" width="11.8515625" style="103" customWidth="1"/>
    <col min="4" max="4" width="12.140625" style="103" customWidth="1"/>
    <col min="5" max="5" width="12.00390625" style="32" customWidth="1"/>
    <col min="6" max="6" width="12.140625" style="32" customWidth="1"/>
    <col min="7" max="7" width="11.140625" style="32" customWidth="1"/>
    <col min="8" max="9" width="11.28125" style="2" customWidth="1"/>
    <col min="10" max="10" width="12.140625" style="2" customWidth="1"/>
    <col min="11" max="11" width="12.00390625" style="2" customWidth="1"/>
    <col min="12" max="12" width="11.57421875" style="2" customWidth="1"/>
    <col min="13" max="13" width="11.421875" style="2" customWidth="1"/>
    <col min="14" max="14" width="13.00390625" style="2" customWidth="1"/>
    <col min="15" max="15" width="12.140625" style="2" customWidth="1"/>
    <col min="16" max="16" width="11.421875" style="44" customWidth="1"/>
    <col min="17" max="16384" width="11.421875" style="2" customWidth="1"/>
  </cols>
  <sheetData>
    <row r="1" spans="3:13" ht="12.75">
      <c r="C1" s="100"/>
      <c r="D1" s="100"/>
      <c r="G1" s="33"/>
      <c r="H1" s="3"/>
      <c r="I1" s="3"/>
      <c r="J1" s="3"/>
      <c r="K1" s="3"/>
      <c r="L1" s="9"/>
      <c r="M1" s="9"/>
    </row>
    <row r="2" spans="1:14" ht="23.25">
      <c r="A2" s="11"/>
      <c r="B2" s="85" t="s">
        <v>144</v>
      </c>
      <c r="C2" s="100"/>
      <c r="D2" s="100"/>
      <c r="G2" s="33"/>
      <c r="H2" s="3"/>
      <c r="I2" s="3"/>
      <c r="J2" s="3"/>
      <c r="K2" s="3"/>
      <c r="L2" s="9"/>
      <c r="M2" s="120" t="s">
        <v>151</v>
      </c>
      <c r="N2" s="97">
        <f ca="1">TODAY()</f>
        <v>40570</v>
      </c>
    </row>
    <row r="3" spans="1:13" ht="18">
      <c r="A3" s="11"/>
      <c r="B3" s="10"/>
      <c r="C3" s="286" t="s">
        <v>134</v>
      </c>
      <c r="D3" s="287"/>
      <c r="E3" s="286" t="s">
        <v>145</v>
      </c>
      <c r="F3" s="287"/>
      <c r="G3" s="33"/>
      <c r="H3" s="3"/>
      <c r="I3" s="3"/>
      <c r="J3" s="3"/>
      <c r="K3" s="3"/>
      <c r="L3" s="9"/>
      <c r="M3" s="9"/>
    </row>
    <row r="4" spans="1:13" ht="15.75">
      <c r="A4" s="11"/>
      <c r="B4" s="12" t="s">
        <v>292</v>
      </c>
      <c r="C4" s="101"/>
      <c r="D4" s="101"/>
      <c r="F4" s="34" t="s">
        <v>56</v>
      </c>
      <c r="G4" s="35"/>
      <c r="H4" s="3"/>
      <c r="I4" s="3"/>
      <c r="J4" s="3"/>
      <c r="K4" s="3"/>
      <c r="L4" s="9"/>
      <c r="M4" s="9"/>
    </row>
    <row r="5" spans="1:14" ht="12.75">
      <c r="A5" s="11"/>
      <c r="B5" s="10"/>
      <c r="C5" s="101"/>
      <c r="D5" s="101"/>
      <c r="G5" s="33"/>
      <c r="H5" s="166">
        <f>100*59/1385</f>
        <v>4.259927797833935</v>
      </c>
      <c r="I5" s="166">
        <f>100*92/1385</f>
        <v>6.64259927797834</v>
      </c>
      <c r="J5" s="166">
        <f>100*806/1385</f>
        <v>58.194945848375454</v>
      </c>
      <c r="K5" s="166">
        <f>100*70/1385</f>
        <v>5.054151624548736</v>
      </c>
      <c r="L5" s="166">
        <f>100*45/1385</f>
        <v>3.2490974729241877</v>
      </c>
      <c r="M5" s="166">
        <f>100*313/1385</f>
        <v>22.59927797833935</v>
      </c>
      <c r="N5" s="8">
        <f>SUM(H5:M5)</f>
        <v>100</v>
      </c>
    </row>
    <row r="6" spans="1:13" ht="12.75">
      <c r="A6" s="6" t="s">
        <v>25</v>
      </c>
      <c r="B6" s="10" t="s">
        <v>11</v>
      </c>
      <c r="C6" s="101" t="s">
        <v>26</v>
      </c>
      <c r="D6" s="101" t="s">
        <v>27</v>
      </c>
      <c r="E6" s="33" t="s">
        <v>26</v>
      </c>
      <c r="F6" s="33" t="s">
        <v>27</v>
      </c>
      <c r="G6" s="33" t="s">
        <v>28</v>
      </c>
      <c r="H6" s="3" t="s">
        <v>29</v>
      </c>
      <c r="I6" s="3" t="s">
        <v>148</v>
      </c>
      <c r="J6" s="3" t="s">
        <v>30</v>
      </c>
      <c r="K6" s="3" t="s">
        <v>31</v>
      </c>
      <c r="L6" s="9" t="s">
        <v>32</v>
      </c>
      <c r="M6" s="9" t="s">
        <v>33</v>
      </c>
    </row>
    <row r="7" spans="1:14" ht="12.75">
      <c r="A7" s="11"/>
      <c r="B7" s="22"/>
      <c r="C7" s="101"/>
      <c r="D7" s="101"/>
      <c r="E7" s="33"/>
      <c r="F7" s="33"/>
      <c r="G7" s="23"/>
      <c r="H7" s="32"/>
      <c r="I7" s="32"/>
      <c r="J7" s="32"/>
      <c r="K7" s="32"/>
      <c r="L7" s="32"/>
      <c r="M7" s="32"/>
      <c r="N7" s="32"/>
    </row>
    <row r="8" spans="1:15" ht="12.75">
      <c r="A8" s="30" t="s">
        <v>34</v>
      </c>
      <c r="B8" s="28" t="s">
        <v>35</v>
      </c>
      <c r="C8" s="223">
        <v>423800</v>
      </c>
      <c r="D8" s="106"/>
      <c r="E8" s="5">
        <f>konto2010!G43</f>
        <v>486355</v>
      </c>
      <c r="F8" s="5"/>
      <c r="G8" s="23" t="s">
        <v>51</v>
      </c>
      <c r="H8" s="10">
        <f>4400+3977+4600+4500+9100+2500</f>
        <v>29077</v>
      </c>
      <c r="I8" s="10">
        <f>7000+8889+7800+5200+7600+3500</f>
        <v>39989</v>
      </c>
      <c r="J8" s="10">
        <f>30000+31500+40756+75900+50600+12800+2500</f>
        <v>244056</v>
      </c>
      <c r="K8" s="10">
        <f>5500+5564+5900+3900+4700</f>
        <v>25564</v>
      </c>
      <c r="L8" s="10">
        <f>4000+2503+4000+2700+8800+2500</f>
        <v>24503</v>
      </c>
      <c r="M8" s="10">
        <f>24000+19866+28900+29400+15500+5500</f>
        <v>123166</v>
      </c>
      <c r="N8" s="10">
        <f>SUM(H8:M8)</f>
        <v>486355</v>
      </c>
      <c r="O8" s="10"/>
    </row>
    <row r="9" spans="1:15" ht="12.75">
      <c r="A9" s="30" t="s">
        <v>36</v>
      </c>
      <c r="B9" s="28" t="s">
        <v>37</v>
      </c>
      <c r="C9" s="223">
        <v>0</v>
      </c>
      <c r="D9" s="106"/>
      <c r="E9" s="5">
        <f>konto2010!G48</f>
        <v>1638.9</v>
      </c>
      <c r="F9" s="5"/>
      <c r="G9" s="104" t="s">
        <v>149</v>
      </c>
      <c r="H9" s="10">
        <f aca="true" t="shared" si="0" ref="H9:H15">E9/6</f>
        <v>273.15000000000003</v>
      </c>
      <c r="I9" s="10">
        <f aca="true" t="shared" si="1" ref="I9:I15">E9/6</f>
        <v>273.15000000000003</v>
      </c>
      <c r="J9" s="10">
        <f aca="true" t="shared" si="2" ref="J9:J15">E9/6</f>
        <v>273.15000000000003</v>
      </c>
      <c r="K9" s="10">
        <f aca="true" t="shared" si="3" ref="K9:K15">E9/6</f>
        <v>273.15000000000003</v>
      </c>
      <c r="L9" s="10">
        <f aca="true" t="shared" si="4" ref="L9:L15">E9/6</f>
        <v>273.15000000000003</v>
      </c>
      <c r="M9" s="10">
        <f aca="true" t="shared" si="5" ref="M9:M15">E9/6</f>
        <v>273.15000000000003</v>
      </c>
      <c r="N9" s="10">
        <f>SUM(H9:M9)</f>
        <v>1638.9000000000003</v>
      </c>
      <c r="O9" s="10"/>
    </row>
    <row r="10" spans="1:15" ht="12.75">
      <c r="A10" s="30" t="s">
        <v>38</v>
      </c>
      <c r="B10" s="28" t="s">
        <v>39</v>
      </c>
      <c r="C10" s="223">
        <v>0</v>
      </c>
      <c r="D10" s="106"/>
      <c r="E10" s="5">
        <f>konto2010!G52</f>
        <v>0</v>
      </c>
      <c r="F10" s="5"/>
      <c r="G10" s="104" t="s">
        <v>149</v>
      </c>
      <c r="H10" s="10">
        <f t="shared" si="0"/>
        <v>0</v>
      </c>
      <c r="I10" s="10">
        <f t="shared" si="1"/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10">
        <f t="shared" si="5"/>
        <v>0</v>
      </c>
      <c r="N10" s="10">
        <f aca="true" t="shared" si="6" ref="N10:N19">SUM(H10:M10)</f>
        <v>0</v>
      </c>
      <c r="O10" s="10"/>
    </row>
    <row r="11" spans="1:15" ht="12.75">
      <c r="A11" s="77" t="s">
        <v>54</v>
      </c>
      <c r="B11" s="84" t="s">
        <v>223</v>
      </c>
      <c r="C11" s="233">
        <f>10000+10000</f>
        <v>20000</v>
      </c>
      <c r="D11" s="107"/>
      <c r="E11" s="5">
        <f>konto2010!G58</f>
        <v>20245</v>
      </c>
      <c r="F11" s="5"/>
      <c r="G11" s="104" t="s">
        <v>149</v>
      </c>
      <c r="H11" s="10">
        <f t="shared" si="0"/>
        <v>3374.1666666666665</v>
      </c>
      <c r="I11" s="10">
        <f t="shared" si="1"/>
        <v>3374.1666666666665</v>
      </c>
      <c r="J11" s="10">
        <f t="shared" si="2"/>
        <v>3374.1666666666665</v>
      </c>
      <c r="K11" s="10">
        <f t="shared" si="3"/>
        <v>3374.1666666666665</v>
      </c>
      <c r="L11" s="10">
        <f t="shared" si="4"/>
        <v>3374.1666666666665</v>
      </c>
      <c r="M11" s="10">
        <f t="shared" si="5"/>
        <v>3374.1666666666665</v>
      </c>
      <c r="N11" s="10">
        <f t="shared" si="6"/>
        <v>20245</v>
      </c>
      <c r="O11" s="10"/>
    </row>
    <row r="12" spans="1:15" ht="12.75">
      <c r="A12" s="275" t="s">
        <v>225</v>
      </c>
      <c r="B12" s="276" t="s">
        <v>1061</v>
      </c>
      <c r="C12" s="233">
        <v>0</v>
      </c>
      <c r="D12" s="107"/>
      <c r="E12" s="5">
        <f>konto2010!G62</f>
        <v>15580</v>
      </c>
      <c r="F12" s="5"/>
      <c r="G12" s="104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30">
        <v>32</v>
      </c>
      <c r="B13" s="28" t="s">
        <v>40</v>
      </c>
      <c r="C13" s="234">
        <v>1000</v>
      </c>
      <c r="D13" s="106"/>
      <c r="E13" s="5">
        <f>konto2010!G66</f>
        <v>1000</v>
      </c>
      <c r="F13" s="5"/>
      <c r="G13" s="104" t="s">
        <v>149</v>
      </c>
      <c r="H13" s="10">
        <f t="shared" si="0"/>
        <v>166.66666666666666</v>
      </c>
      <c r="I13" s="10">
        <f t="shared" si="1"/>
        <v>166.66666666666666</v>
      </c>
      <c r="J13" s="10">
        <f t="shared" si="2"/>
        <v>166.66666666666666</v>
      </c>
      <c r="K13" s="10">
        <f t="shared" si="3"/>
        <v>166.66666666666666</v>
      </c>
      <c r="L13" s="10">
        <f t="shared" si="4"/>
        <v>166.66666666666666</v>
      </c>
      <c r="M13" s="10">
        <f t="shared" si="5"/>
        <v>166.66666666666666</v>
      </c>
      <c r="N13" s="10">
        <f t="shared" si="6"/>
        <v>999.9999999999999</v>
      </c>
      <c r="O13" s="10"/>
    </row>
    <row r="14" spans="1:15" ht="12.75">
      <c r="A14" s="30" t="s">
        <v>183</v>
      </c>
      <c r="B14" s="28" t="s">
        <v>0</v>
      </c>
      <c r="C14" s="234">
        <v>16000</v>
      </c>
      <c r="D14" s="106"/>
      <c r="E14" s="5">
        <f>konto2010!G92</f>
        <v>22350</v>
      </c>
      <c r="F14" s="5"/>
      <c r="G14" s="104" t="s">
        <v>149</v>
      </c>
      <c r="H14" s="10">
        <f t="shared" si="0"/>
        <v>3725</v>
      </c>
      <c r="I14" s="10">
        <f t="shared" si="1"/>
        <v>3725</v>
      </c>
      <c r="J14" s="10">
        <f t="shared" si="2"/>
        <v>3725</v>
      </c>
      <c r="K14" s="10">
        <f t="shared" si="3"/>
        <v>3725</v>
      </c>
      <c r="L14" s="10">
        <f t="shared" si="4"/>
        <v>3725</v>
      </c>
      <c r="M14" s="10">
        <f t="shared" si="5"/>
        <v>3725</v>
      </c>
      <c r="N14" s="10">
        <f>SUM(H14:M14)</f>
        <v>22350</v>
      </c>
      <c r="O14" s="10"/>
    </row>
    <row r="15" spans="1:15" ht="12.75">
      <c r="A15" s="30" t="s">
        <v>14</v>
      </c>
      <c r="B15" s="28" t="s">
        <v>1</v>
      </c>
      <c r="C15" s="234">
        <v>36500</v>
      </c>
      <c r="D15" s="106"/>
      <c r="E15" s="5">
        <f>konto2010!G138</f>
        <v>104997.90000000001</v>
      </c>
      <c r="F15" s="5"/>
      <c r="G15" s="104" t="s">
        <v>149</v>
      </c>
      <c r="H15" s="10">
        <f t="shared" si="0"/>
        <v>17499.65</v>
      </c>
      <c r="I15" s="10">
        <f t="shared" si="1"/>
        <v>17499.65</v>
      </c>
      <c r="J15" s="10">
        <f t="shared" si="2"/>
        <v>17499.65</v>
      </c>
      <c r="K15" s="10">
        <f t="shared" si="3"/>
        <v>17499.65</v>
      </c>
      <c r="L15" s="10">
        <f t="shared" si="4"/>
        <v>17499.65</v>
      </c>
      <c r="M15" s="10">
        <f t="shared" si="5"/>
        <v>17499.65</v>
      </c>
      <c r="N15" s="10">
        <f t="shared" si="6"/>
        <v>104997.9</v>
      </c>
      <c r="O15" s="10"/>
    </row>
    <row r="16" spans="1:15" ht="12.75">
      <c r="A16" s="30" t="s">
        <v>41</v>
      </c>
      <c r="B16" s="28" t="s">
        <v>185</v>
      </c>
      <c r="C16" s="234">
        <v>107500</v>
      </c>
      <c r="D16" s="106"/>
      <c r="E16" s="5">
        <f>konto2010!G173</f>
        <v>123020.01000000001</v>
      </c>
      <c r="F16" s="5"/>
      <c r="G16" s="23" t="s">
        <v>53</v>
      </c>
      <c r="H16" s="10">
        <f>E16*H5%</f>
        <v>5240.563602888087</v>
      </c>
      <c r="I16" s="10">
        <f>E16*I5%</f>
        <v>8171.726296028882</v>
      </c>
      <c r="J16" s="10">
        <f>E16*J5%</f>
        <v>71591.42820216608</v>
      </c>
      <c r="K16" s="10">
        <f>E16*K5%</f>
        <v>6217.617833935018</v>
      </c>
      <c r="L16" s="10">
        <f>E16*L5%</f>
        <v>3997.040036101083</v>
      </c>
      <c r="M16" s="10">
        <f>E16*M5%</f>
        <v>27801.63402888087</v>
      </c>
      <c r="N16" s="10">
        <f t="shared" si="6"/>
        <v>123020.01000000001</v>
      </c>
      <c r="O16" s="10"/>
    </row>
    <row r="17" spans="1:15" ht="12.75">
      <c r="A17" s="30">
        <v>35</v>
      </c>
      <c r="B17" s="28" t="s">
        <v>44</v>
      </c>
      <c r="C17" s="234">
        <v>30000</v>
      </c>
      <c r="D17" s="106"/>
      <c r="E17" s="5">
        <f>konto2010!G266</f>
        <v>125909</v>
      </c>
      <c r="F17" s="5"/>
      <c r="G17" s="104" t="s">
        <v>149</v>
      </c>
      <c r="H17" s="10">
        <f>E17/6</f>
        <v>20984.833333333332</v>
      </c>
      <c r="I17" s="10">
        <f>E17/6</f>
        <v>20984.833333333332</v>
      </c>
      <c r="J17" s="10">
        <f>E17/6</f>
        <v>20984.833333333332</v>
      </c>
      <c r="K17" s="10">
        <f>E17/6</f>
        <v>20984.833333333332</v>
      </c>
      <c r="L17" s="10">
        <f>E17/6</f>
        <v>20984.833333333332</v>
      </c>
      <c r="M17" s="10">
        <f>E17/6</f>
        <v>20984.833333333332</v>
      </c>
      <c r="N17" s="10">
        <f t="shared" si="6"/>
        <v>125908.99999999999</v>
      </c>
      <c r="O17" s="10"/>
    </row>
    <row r="18" spans="1:15" ht="12.75">
      <c r="A18" s="30" t="s">
        <v>186</v>
      </c>
      <c r="B18" s="28" t="s">
        <v>188</v>
      </c>
      <c r="C18" s="234">
        <v>5000</v>
      </c>
      <c r="D18" s="106"/>
      <c r="E18" s="5">
        <f>konto2010!G270</f>
        <v>3200</v>
      </c>
      <c r="F18" s="5"/>
      <c r="G18" s="23" t="s">
        <v>51</v>
      </c>
      <c r="H18" s="10">
        <f>$E$18/3/6</f>
        <v>177.7777777777778</v>
      </c>
      <c r="I18" s="10">
        <f>($E$18-($E$18/3))/4+$E$18/3/6</f>
        <v>711.1111111111111</v>
      </c>
      <c r="J18" s="10">
        <f>($E$18-($E$18/3))/4+$E$18/3/6</f>
        <v>711.1111111111111</v>
      </c>
      <c r="K18" s="10">
        <f>($E$18-($E$18/3))/4+$E$18/3/6</f>
        <v>711.1111111111111</v>
      </c>
      <c r="L18" s="10">
        <f>$E$18/3/6</f>
        <v>177.7777777777778</v>
      </c>
      <c r="M18" s="10">
        <f>($E$18-($E$18/3))/4+$E$18/3/6</f>
        <v>711.1111111111111</v>
      </c>
      <c r="N18" s="10">
        <f>SUM(H18:M18)</f>
        <v>3200</v>
      </c>
      <c r="O18" s="10"/>
    </row>
    <row r="19" spans="1:21" ht="12.75">
      <c r="A19" s="30" t="s">
        <v>187</v>
      </c>
      <c r="B19" s="28" t="s">
        <v>2</v>
      </c>
      <c r="C19" s="234">
        <v>20000</v>
      </c>
      <c r="D19" s="106"/>
      <c r="E19" s="5">
        <f>konto2010!G274</f>
        <v>2240</v>
      </c>
      <c r="F19" s="5"/>
      <c r="G19" s="104" t="s">
        <v>149</v>
      </c>
      <c r="H19" s="10">
        <f>E19/6</f>
        <v>373.3333333333333</v>
      </c>
      <c r="I19" s="10">
        <f>E19/6</f>
        <v>373.3333333333333</v>
      </c>
      <c r="J19" s="10">
        <f>E19/6</f>
        <v>373.3333333333333</v>
      </c>
      <c r="K19" s="10">
        <f>E19/6</f>
        <v>373.3333333333333</v>
      </c>
      <c r="L19" s="10">
        <f>E19/6</f>
        <v>373.3333333333333</v>
      </c>
      <c r="M19" s="10">
        <f>E19/6</f>
        <v>373.3333333333333</v>
      </c>
      <c r="N19" s="10">
        <f t="shared" si="6"/>
        <v>2240</v>
      </c>
      <c r="O19" s="10"/>
      <c r="S19" s="44"/>
      <c r="T19" s="10"/>
      <c r="U19" s="44"/>
    </row>
    <row r="20" spans="1:21" ht="12.75">
      <c r="A20" s="30" t="s">
        <v>246</v>
      </c>
      <c r="B20" s="229" t="s">
        <v>376</v>
      </c>
      <c r="C20" s="234">
        <v>95000</v>
      </c>
      <c r="D20" s="106"/>
      <c r="E20" s="5">
        <f>konto2010!G283</f>
        <v>96000</v>
      </c>
      <c r="F20" s="5"/>
      <c r="G20" s="104" t="s">
        <v>149</v>
      </c>
      <c r="H20" s="10">
        <f>E20/6</f>
        <v>16000</v>
      </c>
      <c r="I20" s="10">
        <f>E20/6</f>
        <v>16000</v>
      </c>
      <c r="J20" s="10">
        <f>E20/6</f>
        <v>16000</v>
      </c>
      <c r="K20" s="10">
        <f>E20/6</f>
        <v>16000</v>
      </c>
      <c r="L20" s="10">
        <f>E20/6</f>
        <v>16000</v>
      </c>
      <c r="M20" s="10">
        <f>E20/6</f>
        <v>16000</v>
      </c>
      <c r="N20" s="10">
        <f>SUM(H20:M20)</f>
        <v>96000</v>
      </c>
      <c r="O20" s="10"/>
      <c r="S20" s="44"/>
      <c r="T20" s="10"/>
      <c r="U20" s="44"/>
    </row>
    <row r="21" spans="2:15" ht="12.75">
      <c r="B21" s="82"/>
      <c r="C21" s="106"/>
      <c r="D21" s="106"/>
      <c r="E21" s="5"/>
      <c r="F21" s="5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30" t="s">
        <v>114</v>
      </c>
      <c r="B22" s="83" t="s">
        <v>116</v>
      </c>
      <c r="C22" s="98"/>
      <c r="D22" s="98">
        <v>-190000</v>
      </c>
      <c r="E22" s="5"/>
      <c r="F22" s="5">
        <f>konto2010!G390</f>
        <v>-200456.78</v>
      </c>
      <c r="G22" s="23" t="s">
        <v>51</v>
      </c>
      <c r="H22" s="10">
        <f>'startk.2010'!B143*-1</f>
        <v>-10882.7</v>
      </c>
      <c r="I22" s="10">
        <f>'startk.2010'!C143*-1</f>
        <v>-13325</v>
      </c>
      <c r="J22" s="10">
        <f>'startk.2010'!D143*-1</f>
        <v>-99070.54</v>
      </c>
      <c r="K22" s="10">
        <f>'startk.2010'!E143*-1</f>
        <v>-7980</v>
      </c>
      <c r="L22" s="10">
        <f>'startk.2010'!F143*-1</f>
        <v>-9946.56</v>
      </c>
      <c r="M22" s="10">
        <f>'startk.2010'!G143*-1</f>
        <v>-59251.98</v>
      </c>
      <c r="N22" s="10">
        <f aca="true" t="shared" si="7" ref="N22:N33">SUM(H22:M22)</f>
        <v>-200456.78</v>
      </c>
      <c r="O22" s="10">
        <f>F22-N22</f>
        <v>0</v>
      </c>
    </row>
    <row r="23" spans="1:17" ht="12.75">
      <c r="A23" s="30" t="s">
        <v>115</v>
      </c>
      <c r="B23" s="28" t="s">
        <v>150</v>
      </c>
      <c r="C23" s="98"/>
      <c r="D23" s="98">
        <v>-123500</v>
      </c>
      <c r="E23" s="5"/>
      <c r="F23" s="5">
        <f>konto2010!G421</f>
        <v>-134570.52000000002</v>
      </c>
      <c r="G23" s="23" t="s">
        <v>53</v>
      </c>
      <c r="H23" s="10">
        <f>'startk.2010'!B144*-1</f>
        <v>-5732.606989169675</v>
      </c>
      <c r="I23" s="10">
        <f>'startk.2010'!C144*-1</f>
        <v>-8938.980389891696</v>
      </c>
      <c r="J23" s="10">
        <f>'startk.2010'!D144*-1</f>
        <v>-78313.24124187726</v>
      </c>
      <c r="K23" s="10">
        <f>'startk.2010'!E144*-1</f>
        <v>-6801.398122743682</v>
      </c>
      <c r="L23" s="10">
        <f>'startk.2010'!F144*-1</f>
        <v>-4372.327364620938</v>
      </c>
      <c r="M23" s="10">
        <f>'startk.2010'!G144*-1</f>
        <v>-30411.965891696753</v>
      </c>
      <c r="N23" s="10">
        <f>SUM(H23:M23)</f>
        <v>-134570.52000000002</v>
      </c>
      <c r="O23" s="10">
        <f>SUM(N22:N23)</f>
        <v>-335027.30000000005</v>
      </c>
      <c r="Q23" s="10"/>
    </row>
    <row r="24" spans="1:15" ht="12.75">
      <c r="A24" s="30">
        <v>41</v>
      </c>
      <c r="B24" s="83" t="s">
        <v>46</v>
      </c>
      <c r="C24" s="98"/>
      <c r="D24" s="98">
        <v>-1000</v>
      </c>
      <c r="E24" s="5"/>
      <c r="F24" s="5">
        <f>konto2010!G426</f>
        <v>-2211</v>
      </c>
      <c r="G24" s="104" t="s">
        <v>149</v>
      </c>
      <c r="H24" s="10">
        <f>F24/6</f>
        <v>-368.5</v>
      </c>
      <c r="I24" s="10">
        <f>F24/6</f>
        <v>-368.5</v>
      </c>
      <c r="J24" s="10">
        <f>F24/6</f>
        <v>-368.5</v>
      </c>
      <c r="K24" s="10">
        <f>F24/6</f>
        <v>-368.5</v>
      </c>
      <c r="L24" s="10">
        <f>F24/6</f>
        <v>-368.5</v>
      </c>
      <c r="M24" s="10">
        <f>F24/6</f>
        <v>-368.5</v>
      </c>
      <c r="N24" s="10">
        <f t="shared" si="7"/>
        <v>-2211</v>
      </c>
      <c r="O24" s="10"/>
    </row>
    <row r="25" spans="1:15" ht="12.75">
      <c r="A25" s="30" t="s">
        <v>226</v>
      </c>
      <c r="B25" s="83" t="s">
        <v>133</v>
      </c>
      <c r="C25" s="98"/>
      <c r="D25" s="98">
        <v>-57000</v>
      </c>
      <c r="E25" s="5"/>
      <c r="F25" s="5">
        <f>konto2010!G452</f>
        <v>-36709.97</v>
      </c>
      <c r="G25" s="104" t="s">
        <v>149</v>
      </c>
      <c r="H25" s="10">
        <f>F25/6</f>
        <v>-6118.328333333334</v>
      </c>
      <c r="I25" s="10">
        <f>F25/6</f>
        <v>-6118.328333333334</v>
      </c>
      <c r="J25" s="10">
        <f>F25/6</f>
        <v>-6118.328333333334</v>
      </c>
      <c r="K25" s="10">
        <f>F25/6</f>
        <v>-6118.328333333334</v>
      </c>
      <c r="L25" s="10">
        <f>F25/6</f>
        <v>-6118.328333333334</v>
      </c>
      <c r="M25" s="10">
        <f>F25/6</f>
        <v>-6118.328333333334</v>
      </c>
      <c r="N25" s="10">
        <f>SUM(H25:M25)</f>
        <v>-36709.97</v>
      </c>
      <c r="O25" s="10"/>
    </row>
    <row r="26" spans="1:15" ht="12.75">
      <c r="A26" s="30" t="s">
        <v>259</v>
      </c>
      <c r="B26" s="83" t="s">
        <v>260</v>
      </c>
      <c r="C26" s="98"/>
      <c r="D26" s="98">
        <v>-47500</v>
      </c>
      <c r="E26" s="5"/>
      <c r="F26" s="5">
        <f>konto2010!G468</f>
        <v>-43550</v>
      </c>
      <c r="G26" s="104" t="s">
        <v>53</v>
      </c>
      <c r="H26" s="10">
        <f>F26*H5%</f>
        <v>-1855.1985559566788</v>
      </c>
      <c r="I26" s="10">
        <f>F26*I5%</f>
        <v>-2892.851985559567</v>
      </c>
      <c r="J26" s="10">
        <f>F26*J5%</f>
        <v>-25343.89891696751</v>
      </c>
      <c r="K26" s="10">
        <f>F26*K5%</f>
        <v>-2201.083032490975</v>
      </c>
      <c r="L26" s="10">
        <f>F26*L5%</f>
        <v>-1414.9819494584835</v>
      </c>
      <c r="M26" s="10">
        <f>F26*M5%</f>
        <v>-9841.985559566789</v>
      </c>
      <c r="N26" s="10">
        <f>SUM(H26:M26)</f>
        <v>-43550.00000000001</v>
      </c>
      <c r="O26" s="10"/>
    </row>
    <row r="27" spans="1:15" ht="12.75">
      <c r="A27" s="30">
        <v>44</v>
      </c>
      <c r="B27" s="28" t="s">
        <v>147</v>
      </c>
      <c r="C27" s="98"/>
      <c r="D27" s="98">
        <v>-180200</v>
      </c>
      <c r="E27" s="5"/>
      <c r="F27" s="5">
        <f>konto2010!G510</f>
        <v>-203443.5</v>
      </c>
      <c r="G27" s="23" t="s">
        <v>53</v>
      </c>
      <c r="H27" s="10">
        <f>F27*H5%</f>
        <v>-8666.546209386282</v>
      </c>
      <c r="I27" s="10">
        <f>F27*I5%</f>
        <v>-13513.936462093863</v>
      </c>
      <c r="J27" s="10">
        <f>F27*J5%</f>
        <v>-118393.83465703973</v>
      </c>
      <c r="K27" s="10">
        <f>F27*K5%</f>
        <v>-10282.342960288808</v>
      </c>
      <c r="L27" s="10">
        <f>F27*L5%</f>
        <v>-6610.077617328519</v>
      </c>
      <c r="M27" s="10">
        <f>F27*M5%</f>
        <v>-45976.76209386282</v>
      </c>
      <c r="N27" s="10">
        <f t="shared" si="7"/>
        <v>-203443.50000000003</v>
      </c>
      <c r="O27" s="10"/>
    </row>
    <row r="28" spans="1:15" ht="12.75">
      <c r="A28" s="30">
        <v>45</v>
      </c>
      <c r="B28" s="83" t="s">
        <v>132</v>
      </c>
      <c r="C28" s="98"/>
      <c r="D28" s="98">
        <v>-72600</v>
      </c>
      <c r="E28" s="5"/>
      <c r="F28" s="5">
        <f>konto2010!G543</f>
        <v>-153620.25</v>
      </c>
      <c r="G28" s="104" t="s">
        <v>149</v>
      </c>
      <c r="H28" s="10">
        <f>F28/6</f>
        <v>-25603.375</v>
      </c>
      <c r="I28" s="10">
        <f>F28/6</f>
        <v>-25603.375</v>
      </c>
      <c r="J28" s="10">
        <f>F28/6</f>
        <v>-25603.375</v>
      </c>
      <c r="K28" s="10">
        <f>F28/6</f>
        <v>-25603.375</v>
      </c>
      <c r="L28" s="10">
        <f>F28/6</f>
        <v>-25603.375</v>
      </c>
      <c r="M28" s="10">
        <f>F28/6</f>
        <v>-25603.375</v>
      </c>
      <c r="N28" s="10">
        <f t="shared" si="7"/>
        <v>-153620.25</v>
      </c>
      <c r="O28" s="10"/>
    </row>
    <row r="29" spans="1:15" ht="12.75">
      <c r="A29" s="30">
        <v>52</v>
      </c>
      <c r="B29" s="28" t="s">
        <v>47</v>
      </c>
      <c r="C29" s="98"/>
      <c r="D29" s="98">
        <v>-3000</v>
      </c>
      <c r="E29" s="5"/>
      <c r="F29" s="5">
        <f>konto2010!G589</f>
        <v>-3978.4</v>
      </c>
      <c r="G29" s="104" t="s">
        <v>149</v>
      </c>
      <c r="H29" s="10">
        <f>F29/6</f>
        <v>-663.0666666666667</v>
      </c>
      <c r="I29" s="10">
        <f>F29/6</f>
        <v>-663.0666666666667</v>
      </c>
      <c r="J29" s="10">
        <f>F29/6</f>
        <v>-663.0666666666667</v>
      </c>
      <c r="K29" s="10">
        <f>F29/6</f>
        <v>-663.0666666666667</v>
      </c>
      <c r="L29" s="10">
        <f>F29/6</f>
        <v>-663.0666666666667</v>
      </c>
      <c r="M29" s="10">
        <f>F29/6</f>
        <v>-663.0666666666667</v>
      </c>
      <c r="N29" s="10">
        <f t="shared" si="7"/>
        <v>-3978.4</v>
      </c>
      <c r="O29" s="10"/>
    </row>
    <row r="30" spans="1:15" ht="12.75">
      <c r="A30" s="30">
        <v>55</v>
      </c>
      <c r="B30" s="28" t="s">
        <v>367</v>
      </c>
      <c r="C30" s="98"/>
      <c r="D30" s="98">
        <v>-45000</v>
      </c>
      <c r="E30" s="5"/>
      <c r="F30" s="5">
        <f>konto2010!G598</f>
        <v>-45000</v>
      </c>
      <c r="G30" s="104" t="s">
        <v>149</v>
      </c>
      <c r="H30" s="10">
        <f>F30/6</f>
        <v>-7500</v>
      </c>
      <c r="I30" s="10">
        <f>F30/6</f>
        <v>-7500</v>
      </c>
      <c r="J30" s="10">
        <f>F30/6</f>
        <v>-7500</v>
      </c>
      <c r="K30" s="10">
        <f>F30/6</f>
        <v>-7500</v>
      </c>
      <c r="L30" s="10">
        <f>F30/6</f>
        <v>-7500</v>
      </c>
      <c r="M30" s="10">
        <f>F30/6</f>
        <v>-7500</v>
      </c>
      <c r="N30" s="10">
        <f>SUM(H30:M30)</f>
        <v>-45000</v>
      </c>
      <c r="O30" s="10"/>
    </row>
    <row r="31" spans="1:15" ht="12.75">
      <c r="A31" s="30">
        <v>64</v>
      </c>
      <c r="B31" s="28" t="s">
        <v>48</v>
      </c>
      <c r="C31" s="98"/>
      <c r="D31" s="98">
        <v>-30000</v>
      </c>
      <c r="E31" s="5"/>
      <c r="F31" s="5">
        <f>konto2010!G608</f>
        <v>-143304.5</v>
      </c>
      <c r="G31" s="104" t="s">
        <v>149</v>
      </c>
      <c r="H31" s="10">
        <f>F31/6</f>
        <v>-23884.083333333332</v>
      </c>
      <c r="I31" s="10">
        <f>F31/6</f>
        <v>-23884.083333333332</v>
      </c>
      <c r="J31" s="10">
        <f>F31/6</f>
        <v>-23884.083333333332</v>
      </c>
      <c r="K31" s="10">
        <f>F31/6</f>
        <v>-23884.083333333332</v>
      </c>
      <c r="L31" s="10">
        <f>F31/6</f>
        <v>-23884.083333333332</v>
      </c>
      <c r="M31" s="10">
        <f>F31/6</f>
        <v>-23884.083333333332</v>
      </c>
      <c r="N31" s="10">
        <f t="shared" si="7"/>
        <v>-143304.5</v>
      </c>
      <c r="O31" s="10"/>
    </row>
    <row r="32" spans="1:15" ht="12.75">
      <c r="A32" s="30">
        <v>72</v>
      </c>
      <c r="B32" s="28" t="s">
        <v>49</v>
      </c>
      <c r="C32" s="98"/>
      <c r="D32" s="98">
        <v>-5000</v>
      </c>
      <c r="E32" s="5"/>
      <c r="F32" s="5">
        <f>konto2010!G612</f>
        <v>-4500</v>
      </c>
      <c r="G32" s="104" t="s">
        <v>149</v>
      </c>
      <c r="H32" s="10">
        <f>F32/6</f>
        <v>-750</v>
      </c>
      <c r="I32" s="10">
        <f>F32/6</f>
        <v>-750</v>
      </c>
      <c r="J32" s="10">
        <f>F32/6</f>
        <v>-750</v>
      </c>
      <c r="K32" s="10">
        <f>F32/6</f>
        <v>-750</v>
      </c>
      <c r="L32" s="10">
        <f>F32/6</f>
        <v>-750</v>
      </c>
      <c r="M32" s="10">
        <f>F32/6</f>
        <v>-750</v>
      </c>
      <c r="N32" s="10">
        <f t="shared" si="7"/>
        <v>-4500</v>
      </c>
      <c r="O32" s="10"/>
    </row>
    <row r="33" spans="1:15" ht="12.75">
      <c r="A33" s="30">
        <v>80</v>
      </c>
      <c r="B33" s="28" t="s">
        <v>50</v>
      </c>
      <c r="C33" s="98">
        <v>0</v>
      </c>
      <c r="D33" s="98"/>
      <c r="E33" s="5">
        <f>konto2010!G616</f>
        <v>82.65</v>
      </c>
      <c r="F33" s="5"/>
      <c r="G33" s="104" t="s">
        <v>149</v>
      </c>
      <c r="H33" s="10">
        <f>E33/6</f>
        <v>13.775</v>
      </c>
      <c r="I33" s="10">
        <f>E33/6</f>
        <v>13.775</v>
      </c>
      <c r="J33" s="10">
        <f>E33/6</f>
        <v>13.775</v>
      </c>
      <c r="K33" s="10">
        <f>E33/6</f>
        <v>13.775</v>
      </c>
      <c r="L33" s="10">
        <f>E33/6</f>
        <v>13.775</v>
      </c>
      <c r="M33" s="10">
        <f>E33/6</f>
        <v>13.775</v>
      </c>
      <c r="N33" s="10">
        <f t="shared" si="7"/>
        <v>82.65</v>
      </c>
      <c r="O33" s="10"/>
    </row>
    <row r="34" spans="1:15" ht="12.75">
      <c r="A34" s="30"/>
      <c r="B34" s="28"/>
      <c r="C34" s="106"/>
      <c r="D34" s="106"/>
      <c r="E34" s="5"/>
      <c r="F34" s="5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1"/>
      <c r="B35" s="22" t="s">
        <v>292</v>
      </c>
      <c r="C35" s="101"/>
      <c r="D35" s="101"/>
      <c r="E35" s="5">
        <f>SUM(E8:E34)</f>
        <v>1002618.4600000001</v>
      </c>
      <c r="F35" s="5">
        <f>SUM(F8:F34)</f>
        <v>-971344.92</v>
      </c>
      <c r="G35" s="10"/>
      <c r="H35" s="10">
        <f aca="true" t="shared" si="8" ref="H35:M35">SUM(H8:H34)</f>
        <v>4881.511292819903</v>
      </c>
      <c r="I35" s="10">
        <f t="shared" si="8"/>
        <v>7724.290236261515</v>
      </c>
      <c r="J35" s="10">
        <f t="shared" si="8"/>
        <v>-7239.753835940644</v>
      </c>
      <c r="K35" s="10">
        <f t="shared" si="8"/>
        <v>2751.1264961893344</v>
      </c>
      <c r="L35" s="10">
        <f t="shared" si="8"/>
        <v>3857.0925491375915</v>
      </c>
      <c r="M35" s="10">
        <f t="shared" si="8"/>
        <v>3719.273261532328</v>
      </c>
      <c r="N35" s="10">
        <f>SUM(H35:M35)</f>
        <v>15693.540000000026</v>
      </c>
      <c r="O35" s="10"/>
    </row>
    <row r="36" spans="2:15" ht="12.75">
      <c r="B36" s="22" t="s">
        <v>293</v>
      </c>
      <c r="C36" s="101">
        <f>SUM(C8:C35)</f>
        <v>754800</v>
      </c>
      <c r="D36" s="101">
        <f>SUM(D8:D35)</f>
        <v>-754800</v>
      </c>
      <c r="E36" s="5"/>
      <c r="F36" s="5"/>
      <c r="G36" s="10"/>
      <c r="H36" s="10">
        <v>-1522.98</v>
      </c>
      <c r="I36" s="10">
        <v>-4175.37</v>
      </c>
      <c r="J36" s="10">
        <v>11665.91</v>
      </c>
      <c r="K36" s="10">
        <v>-2218.26</v>
      </c>
      <c r="L36" s="10">
        <v>-520.07</v>
      </c>
      <c r="M36" s="10">
        <v>-473.77</v>
      </c>
      <c r="N36" s="10">
        <f>SUM(H36:M36)</f>
        <v>2755.459999999999</v>
      </c>
      <c r="O36" s="10"/>
    </row>
    <row r="37" spans="2:15" ht="12.75">
      <c r="B37" s="2" t="s">
        <v>294</v>
      </c>
      <c r="C37" s="101"/>
      <c r="D37" s="101"/>
      <c r="E37" s="5"/>
      <c r="F37" s="5"/>
      <c r="G37" s="10"/>
      <c r="H37" s="10">
        <f aca="true" t="shared" si="9" ref="H37:M37">SUM(H35:H36)</f>
        <v>3358.5312928199032</v>
      </c>
      <c r="I37" s="10">
        <f t="shared" si="9"/>
        <v>3548.920236261515</v>
      </c>
      <c r="J37" s="10">
        <f t="shared" si="9"/>
        <v>4426.156164059355</v>
      </c>
      <c r="K37" s="10">
        <f t="shared" si="9"/>
        <v>532.8664961893342</v>
      </c>
      <c r="L37" s="10">
        <f t="shared" si="9"/>
        <v>3337.0225491375913</v>
      </c>
      <c r="M37" s="10">
        <f t="shared" si="9"/>
        <v>3245.503261532328</v>
      </c>
      <c r="N37" s="10">
        <f>SUM(H37:M37)</f>
        <v>18449.000000000025</v>
      </c>
      <c r="O37" s="10"/>
    </row>
    <row r="38" spans="3:15" ht="12.75">
      <c r="C38" s="100"/>
      <c r="D38" s="100"/>
      <c r="E38" s="5"/>
      <c r="F38" s="5"/>
      <c r="G38" s="10"/>
      <c r="H38" s="10"/>
      <c r="I38" s="10"/>
      <c r="J38" s="10"/>
      <c r="K38" s="10"/>
      <c r="L38" s="10"/>
      <c r="M38" s="10"/>
      <c r="N38" s="10"/>
      <c r="O38" s="10"/>
    </row>
    <row r="39" spans="3:16" ht="12.75">
      <c r="C39" s="100"/>
      <c r="D39" s="100"/>
      <c r="E39" s="33"/>
      <c r="F39" s="5">
        <f>E35+F35</f>
        <v>31273.540000000037</v>
      </c>
      <c r="H39" s="10"/>
      <c r="I39" s="10"/>
      <c r="J39" s="10"/>
      <c r="K39" s="10"/>
      <c r="L39" s="10"/>
      <c r="M39" s="10"/>
      <c r="N39" s="10"/>
      <c r="P39" s="2"/>
    </row>
    <row r="40" spans="2:14" ht="12.75">
      <c r="B40" s="8"/>
      <c r="C40" s="100"/>
      <c r="D40" s="100"/>
      <c r="H40" s="10"/>
      <c r="I40" s="10"/>
      <c r="J40" s="32"/>
      <c r="K40" s="10"/>
      <c r="L40" s="32"/>
      <c r="M40" s="32"/>
      <c r="N40" s="32"/>
    </row>
    <row r="41" spans="3:14" ht="12.75">
      <c r="C41" s="100"/>
      <c r="D41" s="100"/>
      <c r="H41" s="10"/>
      <c r="I41" s="10"/>
      <c r="J41" s="10"/>
      <c r="K41" s="10"/>
      <c r="L41" s="10"/>
      <c r="M41" s="10"/>
      <c r="N41" s="10"/>
    </row>
    <row r="42" spans="1:16" s="89" customFormat="1" ht="12.75">
      <c r="A42" s="62"/>
      <c r="B42" s="62"/>
      <c r="C42" s="102"/>
      <c r="D42" s="102"/>
      <c r="E42" s="86"/>
      <c r="F42" s="86"/>
      <c r="G42" s="86"/>
      <c r="H42" s="87"/>
      <c r="I42" s="87"/>
      <c r="J42" s="86"/>
      <c r="K42" s="86"/>
      <c r="L42" s="86"/>
      <c r="M42" s="86"/>
      <c r="N42" s="86"/>
      <c r="O42" s="62"/>
      <c r="P42" s="88" t="s">
        <v>15</v>
      </c>
    </row>
    <row r="43" spans="1:16" s="51" customFormat="1" ht="15.75">
      <c r="A43" s="55"/>
      <c r="B43" s="55"/>
      <c r="C43" s="102"/>
      <c r="D43" s="10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5"/>
      <c r="P43" s="58"/>
    </row>
    <row r="44" spans="1:16" s="51" customFormat="1" ht="15.75">
      <c r="A44" s="55"/>
      <c r="B44" s="55"/>
      <c r="C44" s="102"/>
      <c r="D44" s="102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5"/>
      <c r="P44" s="58"/>
    </row>
    <row r="45" spans="1:16" s="51" customFormat="1" ht="15.75">
      <c r="A45" s="55"/>
      <c r="B45" s="55"/>
      <c r="C45" s="102"/>
      <c r="D45" s="102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5"/>
      <c r="P45" s="58"/>
    </row>
    <row r="46" spans="1:16" s="51" customFormat="1" ht="15.75">
      <c r="A46" s="55"/>
      <c r="B46" s="55"/>
      <c r="C46" s="102"/>
      <c r="D46" s="102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5"/>
      <c r="P46" s="58"/>
    </row>
    <row r="47" spans="1:16" s="51" customFormat="1" ht="15.75">
      <c r="A47" s="55"/>
      <c r="B47" s="55"/>
      <c r="C47" s="102"/>
      <c r="D47" s="10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5"/>
      <c r="P47" s="58"/>
    </row>
    <row r="48" spans="1:16" s="51" customFormat="1" ht="15.75">
      <c r="A48" s="55"/>
      <c r="B48" s="55"/>
      <c r="C48" s="102"/>
      <c r="D48" s="102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8"/>
    </row>
    <row r="49" spans="1:16" s="51" customFormat="1" ht="15.75">
      <c r="A49" s="55"/>
      <c r="B49" s="55"/>
      <c r="C49" s="102"/>
      <c r="D49" s="102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5"/>
      <c r="P49" s="58"/>
    </row>
    <row r="50" spans="1:16" s="51" customFormat="1" ht="15.75">
      <c r="A50" s="53"/>
      <c r="B50" s="53"/>
      <c r="C50" s="103"/>
      <c r="D50" s="10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3"/>
      <c r="P50" s="59"/>
    </row>
    <row r="51" spans="8:14" ht="12.75">
      <c r="H51" s="32"/>
      <c r="I51" s="32"/>
      <c r="J51" s="32"/>
      <c r="K51" s="32"/>
      <c r="L51" s="32"/>
      <c r="M51" s="32"/>
      <c r="N51" s="32"/>
    </row>
    <row r="52" spans="8:15" ht="12.75">
      <c r="H52" s="32"/>
      <c r="I52" s="32"/>
      <c r="J52" s="32"/>
      <c r="K52" s="32"/>
      <c r="L52" s="32"/>
      <c r="M52" s="32"/>
      <c r="N52" s="32"/>
      <c r="O52" s="8"/>
    </row>
    <row r="53" spans="6:15" ht="12.75">
      <c r="F53" s="258"/>
      <c r="H53" s="32"/>
      <c r="I53" s="32"/>
      <c r="J53" s="32"/>
      <c r="K53" s="32"/>
      <c r="L53" s="32"/>
      <c r="M53" s="32"/>
      <c r="N53" s="32"/>
      <c r="O53" s="8"/>
    </row>
    <row r="54" spans="8:15" ht="12.75">
      <c r="H54" s="32"/>
      <c r="I54" s="32"/>
      <c r="J54" s="32"/>
      <c r="K54" s="32"/>
      <c r="L54" s="32"/>
      <c r="M54" s="32"/>
      <c r="N54" s="32"/>
      <c r="O54" s="8"/>
    </row>
    <row r="55" spans="8:14" ht="12.75">
      <c r="H55" s="32"/>
      <c r="I55" s="32"/>
      <c r="J55" s="32"/>
      <c r="K55" s="32"/>
      <c r="L55" s="32"/>
      <c r="M55" s="32"/>
      <c r="N55" s="32"/>
    </row>
    <row r="56" spans="8:14" ht="12.75">
      <c r="H56" s="32"/>
      <c r="I56" s="32"/>
      <c r="J56" s="32"/>
      <c r="K56" s="32"/>
      <c r="L56" s="32"/>
      <c r="M56" s="32"/>
      <c r="N56" s="32"/>
    </row>
    <row r="57" spans="8:14" ht="12.75">
      <c r="H57" s="32"/>
      <c r="I57" s="32"/>
      <c r="J57" s="32"/>
      <c r="K57" s="32"/>
      <c r="L57" s="32"/>
      <c r="M57" s="32"/>
      <c r="N57" s="32"/>
    </row>
    <row r="58" spans="8:14" ht="12.75">
      <c r="H58" s="32"/>
      <c r="I58" s="32"/>
      <c r="J58" s="32"/>
      <c r="K58" s="32"/>
      <c r="L58" s="32"/>
      <c r="M58" s="32"/>
      <c r="N58" s="32"/>
    </row>
    <row r="59" spans="8:14" ht="12.75">
      <c r="H59" s="32"/>
      <c r="I59" s="32"/>
      <c r="J59" s="32"/>
      <c r="K59" s="32"/>
      <c r="L59" s="32"/>
      <c r="M59" s="32"/>
      <c r="N59" s="32"/>
    </row>
    <row r="60" spans="8:14" ht="12.75">
      <c r="H60" s="32"/>
      <c r="I60" s="32"/>
      <c r="J60" s="32"/>
      <c r="K60" s="32"/>
      <c r="L60" s="32"/>
      <c r="M60" s="32"/>
      <c r="N60" s="32"/>
    </row>
    <row r="61" spans="8:14" ht="12.75">
      <c r="H61" s="32"/>
      <c r="I61" s="32"/>
      <c r="J61" s="32"/>
      <c r="K61" s="32"/>
      <c r="L61" s="32"/>
      <c r="M61" s="32"/>
      <c r="N61" s="32"/>
    </row>
    <row r="62" spans="8:14" ht="12.75">
      <c r="H62" s="32"/>
      <c r="I62" s="32"/>
      <c r="J62" s="32"/>
      <c r="K62" s="32"/>
      <c r="L62" s="32"/>
      <c r="M62" s="32"/>
      <c r="N62" s="32"/>
    </row>
    <row r="63" spans="8:14" ht="12.75">
      <c r="H63" s="32"/>
      <c r="I63" s="32"/>
      <c r="J63" s="32"/>
      <c r="K63" s="32"/>
      <c r="L63" s="32"/>
      <c r="M63" s="32"/>
      <c r="N63" s="32"/>
    </row>
    <row r="64" spans="8:14" ht="12.75">
      <c r="H64" s="32"/>
      <c r="I64" s="32"/>
      <c r="J64" s="32"/>
      <c r="K64" s="32"/>
      <c r="L64" s="32"/>
      <c r="M64" s="32"/>
      <c r="N64" s="32"/>
    </row>
    <row r="65" spans="8:14" ht="12.75">
      <c r="H65" s="32"/>
      <c r="I65" s="32"/>
      <c r="J65" s="32"/>
      <c r="K65" s="32"/>
      <c r="L65" s="32"/>
      <c r="M65" s="32"/>
      <c r="N65" s="32"/>
    </row>
    <row r="66" spans="8:14" ht="12.75">
      <c r="H66" s="32"/>
      <c r="I66" s="32"/>
      <c r="J66" s="32"/>
      <c r="K66" s="32"/>
      <c r="L66" s="32"/>
      <c r="M66" s="32"/>
      <c r="N66" s="32"/>
    </row>
    <row r="67" spans="8:14" ht="12.75">
      <c r="H67" s="32"/>
      <c r="I67" s="32"/>
      <c r="J67" s="32"/>
      <c r="K67" s="32"/>
      <c r="L67" s="32"/>
      <c r="M67" s="32"/>
      <c r="N67" s="32"/>
    </row>
    <row r="68" spans="8:14" ht="12.75">
      <c r="H68" s="32"/>
      <c r="I68" s="32"/>
      <c r="J68" s="32"/>
      <c r="K68" s="32"/>
      <c r="L68" s="32"/>
      <c r="M68" s="32"/>
      <c r="N68" s="32"/>
    </row>
    <row r="69" spans="8:14" ht="12.75">
      <c r="H69" s="32"/>
      <c r="I69" s="32"/>
      <c r="J69" s="32"/>
      <c r="K69" s="32"/>
      <c r="L69" s="32"/>
      <c r="M69" s="32"/>
      <c r="N69" s="32"/>
    </row>
    <row r="70" spans="8:14" ht="12.75">
      <c r="H70" s="32"/>
      <c r="I70" s="32"/>
      <c r="J70" s="32"/>
      <c r="K70" s="32"/>
      <c r="L70" s="32"/>
      <c r="M70" s="32"/>
      <c r="N70" s="32"/>
    </row>
    <row r="71" spans="8:14" ht="12.75">
      <c r="H71" s="32"/>
      <c r="I71" s="32"/>
      <c r="J71" s="32"/>
      <c r="K71" s="32"/>
      <c r="L71" s="32"/>
      <c r="M71" s="32"/>
      <c r="N71" s="32"/>
    </row>
    <row r="72" spans="8:14" ht="12.75">
      <c r="H72" s="32"/>
      <c r="I72" s="32"/>
      <c r="J72" s="32"/>
      <c r="K72" s="32"/>
      <c r="L72" s="32"/>
      <c r="M72" s="32"/>
      <c r="N72" s="32"/>
    </row>
    <row r="73" spans="8:14" ht="12.75">
      <c r="H73" s="32"/>
      <c r="I73" s="32"/>
      <c r="J73" s="32"/>
      <c r="K73" s="32"/>
      <c r="L73" s="32"/>
      <c r="M73" s="32"/>
      <c r="N73" s="32"/>
    </row>
    <row r="74" spans="8:14" ht="12.75">
      <c r="H74" s="32"/>
      <c r="I74" s="32"/>
      <c r="J74" s="32"/>
      <c r="K74" s="32"/>
      <c r="L74" s="32"/>
      <c r="M74" s="32"/>
      <c r="N74" s="32"/>
    </row>
    <row r="75" spans="8:14" ht="12.75">
      <c r="H75" s="32"/>
      <c r="I75" s="32"/>
      <c r="J75" s="32"/>
      <c r="K75" s="32"/>
      <c r="L75" s="32"/>
      <c r="M75" s="32"/>
      <c r="N75" s="32"/>
    </row>
    <row r="76" spans="8:14" ht="12.75">
      <c r="H76" s="32"/>
      <c r="I76" s="32"/>
      <c r="J76" s="32"/>
      <c r="K76" s="32"/>
      <c r="L76" s="32"/>
      <c r="M76" s="32"/>
      <c r="N76" s="32"/>
    </row>
    <row r="77" spans="8:14" ht="12.75">
      <c r="H77" s="32"/>
      <c r="I77" s="32"/>
      <c r="J77" s="32"/>
      <c r="K77" s="32"/>
      <c r="L77" s="32"/>
      <c r="M77" s="32"/>
      <c r="N77" s="32"/>
    </row>
    <row r="78" spans="8:14" ht="12.75">
      <c r="H78" s="32"/>
      <c r="I78" s="32"/>
      <c r="J78" s="32"/>
      <c r="K78" s="32"/>
      <c r="L78" s="32"/>
      <c r="M78" s="32"/>
      <c r="N78" s="32"/>
    </row>
    <row r="79" spans="8:14" ht="12.75">
      <c r="H79" s="32"/>
      <c r="I79" s="32"/>
      <c r="J79" s="32"/>
      <c r="K79" s="32"/>
      <c r="L79" s="32"/>
      <c r="M79" s="32"/>
      <c r="N79" s="32"/>
    </row>
    <row r="80" spans="8:14" ht="12.75">
      <c r="H80" s="32"/>
      <c r="I80" s="32"/>
      <c r="J80" s="32"/>
      <c r="K80" s="32"/>
      <c r="L80" s="32"/>
      <c r="M80" s="32"/>
      <c r="N80" s="32"/>
    </row>
    <row r="81" spans="8:14" ht="12.75">
      <c r="H81" s="32"/>
      <c r="I81" s="32"/>
      <c r="J81" s="32"/>
      <c r="K81" s="32"/>
      <c r="L81" s="32"/>
      <c r="M81" s="32"/>
      <c r="N81" s="32"/>
    </row>
    <row r="82" spans="8:14" ht="12.75">
      <c r="H82" s="32"/>
      <c r="I82" s="32"/>
      <c r="J82" s="32"/>
      <c r="K82" s="32"/>
      <c r="L82" s="32"/>
      <c r="M82" s="32"/>
      <c r="N82" s="32"/>
    </row>
    <row r="83" spans="8:14" ht="12.75">
      <c r="H83" s="32"/>
      <c r="I83" s="32"/>
      <c r="J83" s="32"/>
      <c r="K83" s="32"/>
      <c r="L83" s="32"/>
      <c r="M83" s="32"/>
      <c r="N83" s="32"/>
    </row>
    <row r="84" spans="8:14" ht="12.75">
      <c r="H84" s="32"/>
      <c r="I84" s="32"/>
      <c r="J84" s="32"/>
      <c r="K84" s="32"/>
      <c r="L84" s="32"/>
      <c r="M84" s="32"/>
      <c r="N84" s="32"/>
    </row>
    <row r="85" spans="8:14" ht="12.75">
      <c r="H85" s="32"/>
      <c r="I85" s="32"/>
      <c r="J85" s="32"/>
      <c r="K85" s="32"/>
      <c r="L85" s="32"/>
      <c r="M85" s="32"/>
      <c r="N85" s="32"/>
    </row>
    <row r="86" spans="8:14" ht="12.75">
      <c r="H86" s="32"/>
      <c r="I86" s="32"/>
      <c r="J86" s="32"/>
      <c r="K86" s="32"/>
      <c r="L86" s="32"/>
      <c r="M86" s="32"/>
      <c r="N86" s="32"/>
    </row>
    <row r="87" spans="8:14" ht="12.75">
      <c r="H87" s="32"/>
      <c r="I87" s="32"/>
      <c r="J87" s="32"/>
      <c r="K87" s="32"/>
      <c r="L87" s="32"/>
      <c r="M87" s="32"/>
      <c r="N87" s="32"/>
    </row>
    <row r="88" spans="8:14" ht="12.75">
      <c r="H88" s="32"/>
      <c r="I88" s="32"/>
      <c r="J88" s="32"/>
      <c r="K88" s="32"/>
      <c r="L88" s="32"/>
      <c r="M88" s="32"/>
      <c r="N88" s="32"/>
    </row>
    <row r="89" spans="8:14" ht="12.75">
      <c r="H89" s="32"/>
      <c r="I89" s="32"/>
      <c r="J89" s="32"/>
      <c r="K89" s="32"/>
      <c r="L89" s="32"/>
      <c r="M89" s="32"/>
      <c r="N89" s="32"/>
    </row>
    <row r="90" spans="8:14" ht="12.75">
      <c r="H90" s="32"/>
      <c r="I90" s="32"/>
      <c r="J90" s="32"/>
      <c r="K90" s="32"/>
      <c r="L90" s="32"/>
      <c r="M90" s="32"/>
      <c r="N90" s="32"/>
    </row>
    <row r="91" spans="8:14" ht="12.75">
      <c r="H91" s="32"/>
      <c r="I91" s="32"/>
      <c r="J91" s="32"/>
      <c r="K91" s="32"/>
      <c r="L91" s="32"/>
      <c r="M91" s="32"/>
      <c r="N91" s="32"/>
    </row>
    <row r="92" spans="8:14" ht="12.75">
      <c r="H92" s="32"/>
      <c r="I92" s="32"/>
      <c r="J92" s="32"/>
      <c r="K92" s="32"/>
      <c r="L92" s="32"/>
      <c r="M92" s="32"/>
      <c r="N92" s="32"/>
    </row>
    <row r="93" spans="8:14" ht="12.75">
      <c r="H93" s="32"/>
      <c r="I93" s="32"/>
      <c r="J93" s="32"/>
      <c r="K93" s="32"/>
      <c r="L93" s="32"/>
      <c r="M93" s="32"/>
      <c r="N93" s="32"/>
    </row>
    <row r="94" spans="8:14" ht="12.75">
      <c r="H94" s="32"/>
      <c r="I94" s="32"/>
      <c r="J94" s="32"/>
      <c r="K94" s="32"/>
      <c r="L94" s="32"/>
      <c r="M94" s="32"/>
      <c r="N94" s="32"/>
    </row>
    <row r="95" spans="8:14" ht="12.75">
      <c r="H95" s="32"/>
      <c r="I95" s="32"/>
      <c r="J95" s="32"/>
      <c r="K95" s="32"/>
      <c r="L95" s="32"/>
      <c r="M95" s="32"/>
      <c r="N95" s="32"/>
    </row>
    <row r="96" spans="8:14" ht="12.75">
      <c r="H96" s="32"/>
      <c r="I96" s="32"/>
      <c r="J96" s="32"/>
      <c r="K96" s="32"/>
      <c r="L96" s="32"/>
      <c r="M96" s="32"/>
      <c r="N96" s="32"/>
    </row>
    <row r="97" spans="8:14" ht="12.75">
      <c r="H97" s="32"/>
      <c r="I97" s="32"/>
      <c r="J97" s="32"/>
      <c r="K97" s="32"/>
      <c r="L97" s="32"/>
      <c r="M97" s="32"/>
      <c r="N97" s="32"/>
    </row>
    <row r="98" spans="8:14" ht="12.75">
      <c r="H98" s="32"/>
      <c r="I98" s="32"/>
      <c r="J98" s="32"/>
      <c r="K98" s="32"/>
      <c r="L98" s="32"/>
      <c r="M98" s="32"/>
      <c r="N98" s="32"/>
    </row>
    <row r="99" spans="8:14" ht="12.75">
      <c r="H99" s="32"/>
      <c r="I99" s="32"/>
      <c r="J99" s="32"/>
      <c r="K99" s="32"/>
      <c r="L99" s="32"/>
      <c r="M99" s="32"/>
      <c r="N99" s="32"/>
    </row>
    <row r="100" spans="8:14" ht="12.75">
      <c r="H100" s="32"/>
      <c r="I100" s="32"/>
      <c r="J100" s="32"/>
      <c r="K100" s="32"/>
      <c r="L100" s="32"/>
      <c r="M100" s="32"/>
      <c r="N100" s="32"/>
    </row>
    <row r="101" spans="8:14" ht="12.75">
      <c r="H101" s="32"/>
      <c r="I101" s="32"/>
      <c r="J101" s="32"/>
      <c r="K101" s="32"/>
      <c r="L101" s="32"/>
      <c r="M101" s="32"/>
      <c r="N101" s="32"/>
    </row>
    <row r="102" spans="8:14" ht="12.75">
      <c r="H102" s="32"/>
      <c r="I102" s="32"/>
      <c r="J102" s="32"/>
      <c r="K102" s="32"/>
      <c r="L102" s="32"/>
      <c r="M102" s="32"/>
      <c r="N102" s="32"/>
    </row>
    <row r="103" spans="8:14" ht="12.75">
      <c r="H103" s="32"/>
      <c r="I103" s="32"/>
      <c r="J103" s="32"/>
      <c r="K103" s="32"/>
      <c r="L103" s="32"/>
      <c r="M103" s="32"/>
      <c r="N103" s="32"/>
    </row>
    <row r="104" spans="8:14" ht="12.75">
      <c r="H104" s="32"/>
      <c r="I104" s="32"/>
      <c r="J104" s="32"/>
      <c r="K104" s="32"/>
      <c r="L104" s="32"/>
      <c r="M104" s="32"/>
      <c r="N104" s="32"/>
    </row>
    <row r="105" spans="8:14" ht="12.75">
      <c r="H105" s="32"/>
      <c r="I105" s="32"/>
      <c r="J105" s="32"/>
      <c r="K105" s="32"/>
      <c r="L105" s="32"/>
      <c r="M105" s="32"/>
      <c r="N105" s="32"/>
    </row>
    <row r="106" spans="8:14" ht="12.75">
      <c r="H106" s="32"/>
      <c r="I106" s="32"/>
      <c r="J106" s="32"/>
      <c r="K106" s="32"/>
      <c r="L106" s="32"/>
      <c r="M106" s="32"/>
      <c r="N106" s="32"/>
    </row>
    <row r="107" spans="8:14" ht="12.75">
      <c r="H107" s="32"/>
      <c r="I107" s="32"/>
      <c r="J107" s="32"/>
      <c r="K107" s="32"/>
      <c r="L107" s="32"/>
      <c r="M107" s="32"/>
      <c r="N107" s="32"/>
    </row>
    <row r="108" spans="8:14" ht="12.75">
      <c r="H108" s="32"/>
      <c r="I108" s="32"/>
      <c r="J108" s="32"/>
      <c r="K108" s="32"/>
      <c r="L108" s="32"/>
      <c r="M108" s="32"/>
      <c r="N108" s="32"/>
    </row>
    <row r="109" spans="8:14" ht="12.75">
      <c r="H109" s="32"/>
      <c r="I109" s="32"/>
      <c r="J109" s="32"/>
      <c r="K109" s="32"/>
      <c r="L109" s="32"/>
      <c r="M109" s="32"/>
      <c r="N109" s="32"/>
    </row>
    <row r="110" spans="8:14" ht="12.75">
      <c r="H110" s="32"/>
      <c r="I110" s="32"/>
      <c r="J110" s="32"/>
      <c r="K110" s="32"/>
      <c r="L110" s="32"/>
      <c r="M110" s="32"/>
      <c r="N110" s="32"/>
    </row>
    <row r="111" spans="8:14" ht="12.75">
      <c r="H111" s="32"/>
      <c r="I111" s="32"/>
      <c r="J111" s="32"/>
      <c r="K111" s="32"/>
      <c r="L111" s="32"/>
      <c r="M111" s="32"/>
      <c r="N111" s="32"/>
    </row>
    <row r="112" spans="8:14" ht="12.75">
      <c r="H112" s="32"/>
      <c r="I112" s="32"/>
      <c r="J112" s="32"/>
      <c r="K112" s="32"/>
      <c r="L112" s="32"/>
      <c r="M112" s="32"/>
      <c r="N112" s="32"/>
    </row>
    <row r="113" spans="8:14" ht="12.75">
      <c r="H113" s="32"/>
      <c r="I113" s="32"/>
      <c r="J113" s="32"/>
      <c r="K113" s="32"/>
      <c r="L113" s="32"/>
      <c r="M113" s="32"/>
      <c r="N113" s="32"/>
    </row>
    <row r="114" spans="8:14" ht="12.75">
      <c r="H114" s="32"/>
      <c r="I114" s="32"/>
      <c r="J114" s="32"/>
      <c r="K114" s="32"/>
      <c r="L114" s="32"/>
      <c r="M114" s="32"/>
      <c r="N114" s="32"/>
    </row>
    <row r="115" spans="8:14" ht="12.75">
      <c r="H115" s="32"/>
      <c r="I115" s="32"/>
      <c r="J115" s="32"/>
      <c r="K115" s="32"/>
      <c r="L115" s="32"/>
      <c r="M115" s="32"/>
      <c r="N115" s="32"/>
    </row>
    <row r="116" spans="8:14" ht="12.75">
      <c r="H116" s="32"/>
      <c r="I116" s="32"/>
      <c r="J116" s="32"/>
      <c r="K116" s="32"/>
      <c r="L116" s="32"/>
      <c r="M116" s="32"/>
      <c r="N116" s="32"/>
    </row>
    <row r="117" spans="8:14" ht="12.75">
      <c r="H117" s="32"/>
      <c r="I117" s="32"/>
      <c r="J117" s="32"/>
      <c r="K117" s="32"/>
      <c r="L117" s="32"/>
      <c r="M117" s="32"/>
      <c r="N117" s="32"/>
    </row>
    <row r="118" spans="8:14" ht="12.75">
      <c r="H118" s="32"/>
      <c r="I118" s="32"/>
      <c r="J118" s="32"/>
      <c r="K118" s="32"/>
      <c r="L118" s="32"/>
      <c r="M118" s="32"/>
      <c r="N118" s="32"/>
    </row>
    <row r="119" spans="8:14" ht="12.75">
      <c r="H119" s="32"/>
      <c r="I119" s="32"/>
      <c r="J119" s="32"/>
      <c r="K119" s="32"/>
      <c r="L119" s="32"/>
      <c r="M119" s="32"/>
      <c r="N119" s="32"/>
    </row>
    <row r="120" spans="8:14" ht="12.75">
      <c r="H120" s="32"/>
      <c r="I120" s="32"/>
      <c r="J120" s="32"/>
      <c r="K120" s="32"/>
      <c r="L120" s="32"/>
      <c r="M120" s="32"/>
      <c r="N120" s="32"/>
    </row>
    <row r="121" spans="8:14" ht="12.75">
      <c r="H121" s="32"/>
      <c r="I121" s="32"/>
      <c r="J121" s="32"/>
      <c r="K121" s="32"/>
      <c r="L121" s="32"/>
      <c r="M121" s="32"/>
      <c r="N121" s="32"/>
    </row>
    <row r="122" spans="8:14" ht="12.75">
      <c r="H122" s="32"/>
      <c r="I122" s="32"/>
      <c r="J122" s="32"/>
      <c r="K122" s="32"/>
      <c r="L122" s="32"/>
      <c r="M122" s="32"/>
      <c r="N122" s="32"/>
    </row>
    <row r="123" spans="8:14" ht="12.75">
      <c r="H123" s="32"/>
      <c r="I123" s="32"/>
      <c r="J123" s="32"/>
      <c r="K123" s="32"/>
      <c r="L123" s="32"/>
      <c r="M123" s="32"/>
      <c r="N123" s="32"/>
    </row>
    <row r="124" spans="8:14" ht="12.75">
      <c r="H124" s="32"/>
      <c r="I124" s="32"/>
      <c r="J124" s="32"/>
      <c r="K124" s="32"/>
      <c r="L124" s="32"/>
      <c r="M124" s="32"/>
      <c r="N124" s="32"/>
    </row>
    <row r="125" spans="8:14" ht="12.75">
      <c r="H125" s="32"/>
      <c r="I125" s="32"/>
      <c r="J125" s="32"/>
      <c r="K125" s="32"/>
      <c r="L125" s="32"/>
      <c r="M125" s="32"/>
      <c r="N125" s="32"/>
    </row>
    <row r="126" spans="8:14" ht="12.75">
      <c r="H126" s="32"/>
      <c r="I126" s="32"/>
      <c r="J126" s="32"/>
      <c r="K126" s="32"/>
      <c r="L126" s="32"/>
      <c r="M126" s="32"/>
      <c r="N126" s="32"/>
    </row>
    <row r="127" spans="8:14" ht="12.75">
      <c r="H127" s="32"/>
      <c r="I127" s="32"/>
      <c r="J127" s="32"/>
      <c r="K127" s="32"/>
      <c r="L127" s="32"/>
      <c r="M127" s="32"/>
      <c r="N127" s="32"/>
    </row>
  </sheetData>
  <sheetProtection/>
  <mergeCells count="2">
    <mergeCell ref="C3:D3"/>
    <mergeCell ref="E3:F3"/>
  </mergeCells>
  <printOptions/>
  <pageMargins left="0.38" right="0.49" top="0.984251969" bottom="0.984251969" header="0.5" footer="0.5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A1">
      <selection activeCell="A29" sqref="A29:IV29"/>
    </sheetView>
  </sheetViews>
  <sheetFormatPr defaultColWidth="22.28125" defaultRowHeight="12.75"/>
  <cols>
    <col min="1" max="1" width="9.00390625" style="0" customWidth="1"/>
    <col min="2" max="2" width="53.28125" style="0" customWidth="1"/>
    <col min="3" max="3" width="14.140625" style="0" customWidth="1"/>
    <col min="4" max="4" width="11.57421875" style="0" customWidth="1"/>
    <col min="5" max="11" width="10.7109375" style="0" customWidth="1"/>
    <col min="12" max="12" width="11.8515625" style="0" customWidth="1"/>
    <col min="13" max="13" width="12.00390625" style="0" customWidth="1"/>
  </cols>
  <sheetData>
    <row r="1" spans="1:13" ht="23.25">
      <c r="A1" s="2"/>
      <c r="B1" s="99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217"/>
      <c r="B3" s="218" t="s">
        <v>369</v>
      </c>
      <c r="C3" s="219"/>
      <c r="D3" s="220"/>
      <c r="E3" s="2"/>
      <c r="F3" s="2"/>
      <c r="G3" s="2"/>
      <c r="H3" s="2"/>
      <c r="I3" s="2"/>
      <c r="J3" s="2"/>
      <c r="K3" s="121" t="s">
        <v>151</v>
      </c>
      <c r="L3" s="97">
        <f ca="1">TODAY()</f>
        <v>40570</v>
      </c>
      <c r="M3" s="2"/>
    </row>
    <row r="4" spans="1:13" ht="12.75">
      <c r="A4" s="217"/>
      <c r="B4" s="220"/>
      <c r="C4" s="220"/>
      <c r="D4" s="220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17"/>
      <c r="B5" s="220"/>
      <c r="C5" s="220"/>
      <c r="D5" s="220"/>
      <c r="E5" s="33"/>
      <c r="F5" s="221">
        <v>4.26</v>
      </c>
      <c r="G5" s="221">
        <v>6.64</v>
      </c>
      <c r="H5" s="221">
        <v>58.19</v>
      </c>
      <c r="I5" s="221">
        <v>5.05</v>
      </c>
      <c r="J5" s="221">
        <v>3.26</v>
      </c>
      <c r="K5" s="221">
        <v>22.6</v>
      </c>
      <c r="L5" s="8">
        <f>SUM(F5:K5)</f>
        <v>100</v>
      </c>
      <c r="M5" s="2"/>
    </row>
    <row r="6" spans="1:13" ht="12.75">
      <c r="A6" s="217" t="s">
        <v>25</v>
      </c>
      <c r="B6" s="220" t="s">
        <v>11</v>
      </c>
      <c r="C6" s="222" t="s">
        <v>26</v>
      </c>
      <c r="D6" s="222" t="s">
        <v>27</v>
      </c>
      <c r="E6" s="33" t="s">
        <v>28</v>
      </c>
      <c r="F6" s="3" t="s">
        <v>29</v>
      </c>
      <c r="G6" s="9" t="s">
        <v>148</v>
      </c>
      <c r="H6" s="3" t="s">
        <v>30</v>
      </c>
      <c r="I6" s="3" t="s">
        <v>31</v>
      </c>
      <c r="J6" s="9" t="s">
        <v>32</v>
      </c>
      <c r="K6" s="9" t="s">
        <v>33</v>
      </c>
      <c r="L6" s="2"/>
      <c r="M6" s="2"/>
    </row>
    <row r="7" spans="1:13" ht="12.75">
      <c r="A7" s="217"/>
      <c r="B7" s="220"/>
      <c r="C7" s="220"/>
      <c r="D7" s="220"/>
      <c r="E7" s="2"/>
      <c r="F7" s="44"/>
      <c r="G7" s="44"/>
      <c r="H7" s="44"/>
      <c r="I7" s="44"/>
      <c r="J7" s="44"/>
      <c r="K7" s="44"/>
      <c r="L7" s="44"/>
      <c r="M7" s="2"/>
    </row>
    <row r="8" spans="1:13" ht="12.75">
      <c r="A8" s="217" t="s">
        <v>34</v>
      </c>
      <c r="B8" s="220" t="s">
        <v>35</v>
      </c>
      <c r="C8" s="223">
        <v>423800</v>
      </c>
      <c r="D8" s="223"/>
      <c r="E8" s="224" t="s">
        <v>51</v>
      </c>
      <c r="F8" s="105">
        <v>15231.62</v>
      </c>
      <c r="G8" s="105">
        <v>26031.68</v>
      </c>
      <c r="H8" s="105">
        <v>253159.03</v>
      </c>
      <c r="I8" s="105">
        <v>19656.85</v>
      </c>
      <c r="J8" s="105">
        <v>13294.62</v>
      </c>
      <c r="K8" s="105">
        <v>96426.2</v>
      </c>
      <c r="L8" s="105">
        <f aca="true" t="shared" si="0" ref="L8:L19">SUM(F8:K8)</f>
        <v>423800</v>
      </c>
      <c r="M8" s="2"/>
    </row>
    <row r="9" spans="1:13" ht="12.75">
      <c r="A9" s="217" t="s">
        <v>36</v>
      </c>
      <c r="B9" s="220" t="s">
        <v>37</v>
      </c>
      <c r="C9" s="223">
        <v>0</v>
      </c>
      <c r="D9" s="223"/>
      <c r="E9" s="225" t="s">
        <v>149</v>
      </c>
      <c r="F9" s="105">
        <f aca="true" t="shared" si="1" ref="F9:F14">C9/6</f>
        <v>0</v>
      </c>
      <c r="G9" s="105">
        <f aca="true" t="shared" si="2" ref="G9:G14">C9/6</f>
        <v>0</v>
      </c>
      <c r="H9" s="105">
        <f aca="true" t="shared" si="3" ref="H9:H14">C9/6</f>
        <v>0</v>
      </c>
      <c r="I9" s="105">
        <f aca="true" t="shared" si="4" ref="I9:I14">C9/6</f>
        <v>0</v>
      </c>
      <c r="J9" s="105">
        <f aca="true" t="shared" si="5" ref="J9:J14">C9/6</f>
        <v>0</v>
      </c>
      <c r="K9" s="105">
        <f aca="true" t="shared" si="6" ref="K9:K14">C9/6</f>
        <v>0</v>
      </c>
      <c r="L9" s="105">
        <f t="shared" si="0"/>
        <v>0</v>
      </c>
      <c r="M9" s="2"/>
    </row>
    <row r="10" spans="1:13" ht="12.75">
      <c r="A10" s="217" t="s">
        <v>38</v>
      </c>
      <c r="B10" s="220" t="s">
        <v>39</v>
      </c>
      <c r="C10" s="223">
        <v>0</v>
      </c>
      <c r="D10" s="223"/>
      <c r="E10" s="225" t="s">
        <v>149</v>
      </c>
      <c r="F10" s="105">
        <f t="shared" si="1"/>
        <v>0</v>
      </c>
      <c r="G10" s="105">
        <f t="shared" si="2"/>
        <v>0</v>
      </c>
      <c r="H10" s="105">
        <f t="shared" si="3"/>
        <v>0</v>
      </c>
      <c r="I10" s="105">
        <f t="shared" si="4"/>
        <v>0</v>
      </c>
      <c r="J10" s="105">
        <f t="shared" si="5"/>
        <v>0</v>
      </c>
      <c r="K10" s="105">
        <f t="shared" si="6"/>
        <v>0</v>
      </c>
      <c r="L10" s="105">
        <f t="shared" si="0"/>
        <v>0</v>
      </c>
      <c r="M10" s="2"/>
    </row>
    <row r="11" spans="1:13" ht="12.75">
      <c r="A11" s="226" t="s">
        <v>54</v>
      </c>
      <c r="B11" s="227" t="s">
        <v>223</v>
      </c>
      <c r="C11" s="233">
        <f>10000+10000</f>
        <v>20000</v>
      </c>
      <c r="D11" s="228"/>
      <c r="E11" s="225" t="s">
        <v>149</v>
      </c>
      <c r="F11" s="105">
        <f t="shared" si="1"/>
        <v>3333.3333333333335</v>
      </c>
      <c r="G11" s="105">
        <f t="shared" si="2"/>
        <v>3333.3333333333335</v>
      </c>
      <c r="H11" s="105">
        <f t="shared" si="3"/>
        <v>3333.3333333333335</v>
      </c>
      <c r="I11" s="105">
        <f t="shared" si="4"/>
        <v>3333.3333333333335</v>
      </c>
      <c r="J11" s="105">
        <f t="shared" si="5"/>
        <v>3333.3333333333335</v>
      </c>
      <c r="K11" s="105">
        <f t="shared" si="6"/>
        <v>3333.3333333333335</v>
      </c>
      <c r="L11" s="105">
        <f t="shared" si="0"/>
        <v>20000</v>
      </c>
      <c r="M11" s="2"/>
    </row>
    <row r="12" spans="1:13" ht="12.75">
      <c r="A12" s="217">
        <v>32</v>
      </c>
      <c r="B12" s="220" t="s">
        <v>40</v>
      </c>
      <c r="C12" s="234">
        <v>1000</v>
      </c>
      <c r="D12" s="223"/>
      <c r="E12" s="225" t="s">
        <v>149</v>
      </c>
      <c r="F12" s="105">
        <f t="shared" si="1"/>
        <v>166.66666666666666</v>
      </c>
      <c r="G12" s="105">
        <f t="shared" si="2"/>
        <v>166.66666666666666</v>
      </c>
      <c r="H12" s="105">
        <f t="shared" si="3"/>
        <v>166.66666666666666</v>
      </c>
      <c r="I12" s="105">
        <f t="shared" si="4"/>
        <v>166.66666666666666</v>
      </c>
      <c r="J12" s="105">
        <f t="shared" si="5"/>
        <v>166.66666666666666</v>
      </c>
      <c r="K12" s="105">
        <f t="shared" si="6"/>
        <v>166.66666666666666</v>
      </c>
      <c r="L12" s="105">
        <f t="shared" si="0"/>
        <v>999.9999999999999</v>
      </c>
      <c r="M12" s="2"/>
    </row>
    <row r="13" spans="1:13" ht="12.75">
      <c r="A13" s="217" t="s">
        <v>183</v>
      </c>
      <c r="B13" s="220" t="s">
        <v>370</v>
      </c>
      <c r="C13" s="234">
        <v>16000</v>
      </c>
      <c r="D13" s="223"/>
      <c r="E13" s="225" t="s">
        <v>149</v>
      </c>
      <c r="F13" s="105">
        <f t="shared" si="1"/>
        <v>2666.6666666666665</v>
      </c>
      <c r="G13" s="105">
        <f t="shared" si="2"/>
        <v>2666.6666666666665</v>
      </c>
      <c r="H13" s="105">
        <f t="shared" si="3"/>
        <v>2666.6666666666665</v>
      </c>
      <c r="I13" s="105">
        <f t="shared" si="4"/>
        <v>2666.6666666666665</v>
      </c>
      <c r="J13" s="105">
        <f t="shared" si="5"/>
        <v>2666.6666666666665</v>
      </c>
      <c r="K13" s="105">
        <f t="shared" si="6"/>
        <v>2666.6666666666665</v>
      </c>
      <c r="L13" s="105">
        <f t="shared" si="0"/>
        <v>15999.999999999998</v>
      </c>
      <c r="M13" s="2"/>
    </row>
    <row r="14" spans="1:13" ht="12.75">
      <c r="A14" s="217" t="s">
        <v>14</v>
      </c>
      <c r="B14" s="220" t="s">
        <v>1</v>
      </c>
      <c r="C14" s="234">
        <v>36500</v>
      </c>
      <c r="D14" s="223"/>
      <c r="E14" s="225" t="s">
        <v>149</v>
      </c>
      <c r="F14" s="105">
        <f t="shared" si="1"/>
        <v>6083.333333333333</v>
      </c>
      <c r="G14" s="105">
        <f t="shared" si="2"/>
        <v>6083.333333333333</v>
      </c>
      <c r="H14" s="105">
        <f t="shared" si="3"/>
        <v>6083.333333333333</v>
      </c>
      <c r="I14" s="105">
        <f t="shared" si="4"/>
        <v>6083.333333333333</v>
      </c>
      <c r="J14" s="105">
        <f t="shared" si="5"/>
        <v>6083.333333333333</v>
      </c>
      <c r="K14" s="105">
        <f t="shared" si="6"/>
        <v>6083.333333333333</v>
      </c>
      <c r="L14" s="105">
        <f t="shared" si="0"/>
        <v>36500</v>
      </c>
      <c r="M14" s="2"/>
    </row>
    <row r="15" spans="1:13" ht="12.75">
      <c r="A15" s="217" t="s">
        <v>41</v>
      </c>
      <c r="B15" s="220" t="s">
        <v>371</v>
      </c>
      <c r="C15" s="234">
        <v>107500</v>
      </c>
      <c r="D15" s="223"/>
      <c r="E15" s="224" t="s">
        <v>53</v>
      </c>
      <c r="F15" s="105">
        <f>C15*F5%</f>
        <v>4579.5</v>
      </c>
      <c r="G15" s="105">
        <f>C15*G5%</f>
        <v>7138</v>
      </c>
      <c r="H15" s="105">
        <f>C15*H5%</f>
        <v>62554.25</v>
      </c>
      <c r="I15" s="105">
        <f>C15*I5%</f>
        <v>5428.75</v>
      </c>
      <c r="J15" s="105">
        <f>C15*J5%</f>
        <v>3504.4999999999995</v>
      </c>
      <c r="K15" s="105">
        <f>C15*K5%</f>
        <v>24295</v>
      </c>
      <c r="L15" s="105">
        <f t="shared" si="0"/>
        <v>107500</v>
      </c>
      <c r="M15" s="2"/>
    </row>
    <row r="16" spans="1:13" ht="12.75">
      <c r="A16" s="217">
        <v>35</v>
      </c>
      <c r="B16" s="220" t="s">
        <v>44</v>
      </c>
      <c r="C16" s="234">
        <v>30000</v>
      </c>
      <c r="D16" s="223"/>
      <c r="E16" s="225" t="s">
        <v>149</v>
      </c>
      <c r="F16" s="105">
        <f>C16/6</f>
        <v>5000</v>
      </c>
      <c r="G16" s="105">
        <f>C16/6</f>
        <v>5000</v>
      </c>
      <c r="H16" s="105">
        <f>C16/6</f>
        <v>5000</v>
      </c>
      <c r="I16" s="105">
        <f>C16/6</f>
        <v>5000</v>
      </c>
      <c r="J16" s="105">
        <f>C16/6</f>
        <v>5000</v>
      </c>
      <c r="K16" s="105">
        <f>C16/6</f>
        <v>5000</v>
      </c>
      <c r="L16" s="105">
        <f t="shared" si="0"/>
        <v>30000</v>
      </c>
      <c r="M16" s="2"/>
    </row>
    <row r="17" spans="1:13" ht="12.75">
      <c r="A17" s="217" t="s">
        <v>186</v>
      </c>
      <c r="B17" s="220" t="s">
        <v>188</v>
      </c>
      <c r="C17" s="234">
        <v>5000</v>
      </c>
      <c r="D17" s="223"/>
      <c r="E17" s="224" t="s">
        <v>51</v>
      </c>
      <c r="F17" s="105">
        <f>C17/6</f>
        <v>833.3333333333334</v>
      </c>
      <c r="G17" s="105">
        <f>C17/6</f>
        <v>833.3333333333334</v>
      </c>
      <c r="H17" s="105">
        <f>C17/6</f>
        <v>833.3333333333334</v>
      </c>
      <c r="I17" s="105">
        <f>C17/6</f>
        <v>833.3333333333334</v>
      </c>
      <c r="J17" s="105">
        <f>C17/6</f>
        <v>833.3333333333334</v>
      </c>
      <c r="K17" s="105">
        <f>C17/6</f>
        <v>833.3333333333334</v>
      </c>
      <c r="L17" s="165">
        <f t="shared" si="0"/>
        <v>5000</v>
      </c>
      <c r="M17" s="2"/>
    </row>
    <row r="18" spans="1:13" ht="12.75">
      <c r="A18" s="217" t="s">
        <v>187</v>
      </c>
      <c r="B18" s="220" t="s">
        <v>2</v>
      </c>
      <c r="C18" s="234">
        <v>20000</v>
      </c>
      <c r="D18" s="223"/>
      <c r="E18" s="224" t="s">
        <v>51</v>
      </c>
      <c r="F18" s="105">
        <f>C18/6</f>
        <v>3333.3333333333335</v>
      </c>
      <c r="G18" s="105">
        <f>C18/6</f>
        <v>3333.3333333333335</v>
      </c>
      <c r="H18" s="105">
        <f>C18/6</f>
        <v>3333.3333333333335</v>
      </c>
      <c r="I18" s="105">
        <f>C18/6</f>
        <v>3333.3333333333335</v>
      </c>
      <c r="J18" s="105">
        <f>C18/6</f>
        <v>3333.3333333333335</v>
      </c>
      <c r="K18" s="105">
        <f>C18/6</f>
        <v>3333.3333333333335</v>
      </c>
      <c r="L18" s="105">
        <f t="shared" si="0"/>
        <v>20000</v>
      </c>
      <c r="M18" s="2"/>
    </row>
    <row r="19" spans="1:13" ht="12.75">
      <c r="A19" s="217" t="s">
        <v>246</v>
      </c>
      <c r="B19" s="229" t="s">
        <v>376</v>
      </c>
      <c r="C19" s="234">
        <v>95000</v>
      </c>
      <c r="D19" s="223"/>
      <c r="E19" s="225" t="s">
        <v>149</v>
      </c>
      <c r="F19" s="105">
        <f>C19/6</f>
        <v>15833.333333333334</v>
      </c>
      <c r="G19" s="105">
        <f>C19/6</f>
        <v>15833.333333333334</v>
      </c>
      <c r="H19" s="105">
        <f>C19/6</f>
        <v>15833.333333333334</v>
      </c>
      <c r="I19" s="105">
        <f>C19/6</f>
        <v>15833.333333333334</v>
      </c>
      <c r="J19" s="105">
        <f>C19/6</f>
        <v>15833.333333333334</v>
      </c>
      <c r="K19" s="105">
        <f>C19/6</f>
        <v>15833.333333333334</v>
      </c>
      <c r="L19" s="105">
        <f t="shared" si="0"/>
        <v>95000</v>
      </c>
      <c r="M19" s="2"/>
    </row>
    <row r="20" spans="1:13" ht="12.75">
      <c r="A20" s="217"/>
      <c r="B20" s="220"/>
      <c r="C20" s="223"/>
      <c r="D20" s="223"/>
      <c r="E20" s="224"/>
      <c r="F20" s="44"/>
      <c r="G20" s="44"/>
      <c r="H20" s="44"/>
      <c r="I20" s="44"/>
      <c r="J20" s="44"/>
      <c r="K20" s="44"/>
      <c r="L20" s="105"/>
      <c r="M20" s="2"/>
    </row>
    <row r="21" spans="1:13" ht="12.75">
      <c r="A21" s="217" t="s">
        <v>114</v>
      </c>
      <c r="B21" s="229" t="s">
        <v>116</v>
      </c>
      <c r="C21" s="223"/>
      <c r="D21" s="223">
        <v>-190000</v>
      </c>
      <c r="E21" s="224" t="s">
        <v>51</v>
      </c>
      <c r="F21" s="105">
        <v>-6500</v>
      </c>
      <c r="G21" s="105">
        <v>-11500</v>
      </c>
      <c r="H21" s="105">
        <v>-113000</v>
      </c>
      <c r="I21" s="105">
        <v>-9000</v>
      </c>
      <c r="J21" s="105">
        <v>-7000</v>
      </c>
      <c r="K21" s="105">
        <v>-43000</v>
      </c>
      <c r="L21" s="105">
        <f aca="true" t="shared" si="7" ref="L21:L31">SUM(F21:K21)</f>
        <v>-190000</v>
      </c>
      <c r="M21" s="105"/>
    </row>
    <row r="22" spans="1:13" ht="12.75">
      <c r="A22" s="217" t="s">
        <v>115</v>
      </c>
      <c r="B22" s="220" t="s">
        <v>150</v>
      </c>
      <c r="C22" s="223"/>
      <c r="D22" s="223">
        <v>-123500</v>
      </c>
      <c r="E22" s="224" t="s">
        <v>53</v>
      </c>
      <c r="F22" s="105">
        <f>D22*F5%</f>
        <v>-5261.099999999999</v>
      </c>
      <c r="G22" s="105">
        <f>D22*G5%</f>
        <v>-8200.4</v>
      </c>
      <c r="H22" s="105">
        <f>D22*H5%</f>
        <v>-71864.65</v>
      </c>
      <c r="I22" s="105">
        <f>D22*I5%</f>
        <v>-6236.749999999999</v>
      </c>
      <c r="J22" s="105">
        <f>D22*J5%</f>
        <v>-4026.0999999999995</v>
      </c>
      <c r="K22" s="105">
        <f>D22*K5%</f>
        <v>-27911</v>
      </c>
      <c r="L22" s="105">
        <f t="shared" si="7"/>
        <v>-123500</v>
      </c>
      <c r="M22" s="2"/>
    </row>
    <row r="23" spans="1:13" ht="12.75">
      <c r="A23" s="217">
        <v>41</v>
      </c>
      <c r="B23" s="229" t="s">
        <v>46</v>
      </c>
      <c r="C23" s="223"/>
      <c r="D23" s="223">
        <v>-1000</v>
      </c>
      <c r="E23" s="225" t="s">
        <v>149</v>
      </c>
      <c r="F23" s="105">
        <f>D23/6</f>
        <v>-166.66666666666666</v>
      </c>
      <c r="G23" s="105">
        <f>D23/6</f>
        <v>-166.66666666666666</v>
      </c>
      <c r="H23" s="105">
        <f>D23/6</f>
        <v>-166.66666666666666</v>
      </c>
      <c r="I23" s="105">
        <f>D23/6</f>
        <v>-166.66666666666666</v>
      </c>
      <c r="J23" s="105">
        <f>D23/6</f>
        <v>-166.66666666666666</v>
      </c>
      <c r="K23" s="105">
        <f>D23/6</f>
        <v>-166.66666666666666</v>
      </c>
      <c r="L23" s="105">
        <f t="shared" si="7"/>
        <v>-999.9999999999999</v>
      </c>
      <c r="M23" s="2"/>
    </row>
    <row r="24" spans="1:13" ht="12.75">
      <c r="A24" s="217" t="s">
        <v>226</v>
      </c>
      <c r="B24" s="229" t="s">
        <v>133</v>
      </c>
      <c r="C24" s="223"/>
      <c r="D24" s="234">
        <v>-57000</v>
      </c>
      <c r="E24" s="225" t="s">
        <v>149</v>
      </c>
      <c r="F24" s="105">
        <f>D24/6</f>
        <v>-9500</v>
      </c>
      <c r="G24" s="105">
        <f>D24/6</f>
        <v>-9500</v>
      </c>
      <c r="H24" s="105">
        <f>D24/6</f>
        <v>-9500</v>
      </c>
      <c r="I24" s="105">
        <f>D24/6</f>
        <v>-9500</v>
      </c>
      <c r="J24" s="105">
        <f>D24/6</f>
        <v>-9500</v>
      </c>
      <c r="K24" s="105">
        <f>D24/6</f>
        <v>-9500</v>
      </c>
      <c r="L24" s="105">
        <f t="shared" si="7"/>
        <v>-57000</v>
      </c>
      <c r="M24" s="2"/>
    </row>
    <row r="25" spans="1:13" ht="12.75">
      <c r="A25" s="217" t="s">
        <v>259</v>
      </c>
      <c r="B25" s="229" t="s">
        <v>260</v>
      </c>
      <c r="C25" s="223"/>
      <c r="D25" s="234">
        <v>-47500</v>
      </c>
      <c r="E25" s="225" t="s">
        <v>53</v>
      </c>
      <c r="F25" s="105">
        <f>D25*F5%</f>
        <v>-2023.5</v>
      </c>
      <c r="G25" s="105">
        <f>D25*G5%</f>
        <v>-3154</v>
      </c>
      <c r="H25" s="105">
        <f>D25*H5%</f>
        <v>-27640.25</v>
      </c>
      <c r="I25" s="105">
        <f>D25*I5%</f>
        <v>-2398.75</v>
      </c>
      <c r="J25" s="105">
        <f>D25*J5%</f>
        <v>-1548.4999999999998</v>
      </c>
      <c r="K25" s="105">
        <f>D25*K5%</f>
        <v>-10735</v>
      </c>
      <c r="L25" s="105">
        <f t="shared" si="7"/>
        <v>-47500</v>
      </c>
      <c r="M25" s="2"/>
    </row>
    <row r="26" spans="1:13" ht="12.75">
      <c r="A26" s="217">
        <v>44</v>
      </c>
      <c r="B26" s="220" t="s">
        <v>147</v>
      </c>
      <c r="C26" s="223"/>
      <c r="D26" s="234">
        <v>-180200</v>
      </c>
      <c r="E26" s="224" t="s">
        <v>53</v>
      </c>
      <c r="F26" s="105">
        <f>D26*F5%</f>
        <v>-7676.5199999999995</v>
      </c>
      <c r="G26" s="105">
        <f>D26*G5%</f>
        <v>-11965.28</v>
      </c>
      <c r="H26" s="105">
        <f>D26*H5%</f>
        <v>-104858.37999999999</v>
      </c>
      <c r="I26" s="105">
        <f>D26*I5%</f>
        <v>-9100.099999999999</v>
      </c>
      <c r="J26" s="105">
        <f>D26*J5%</f>
        <v>-5874.5199999999995</v>
      </c>
      <c r="K26" s="105">
        <f>D26*K5%</f>
        <v>-40725.200000000004</v>
      </c>
      <c r="L26" s="105">
        <f t="shared" si="7"/>
        <v>-180200</v>
      </c>
      <c r="M26" s="2"/>
    </row>
    <row r="27" spans="1:13" ht="12.75">
      <c r="A27" s="217">
        <v>45</v>
      </c>
      <c r="B27" s="229" t="s">
        <v>132</v>
      </c>
      <c r="C27" s="223"/>
      <c r="D27" s="234">
        <v>-72600</v>
      </c>
      <c r="E27" s="225" t="s">
        <v>149</v>
      </c>
      <c r="F27" s="105">
        <f>D27/6</f>
        <v>-12100</v>
      </c>
      <c r="G27" s="105">
        <f>D27/6</f>
        <v>-12100</v>
      </c>
      <c r="H27" s="105">
        <f>D27/6</f>
        <v>-12100</v>
      </c>
      <c r="I27" s="105">
        <f>D27/6</f>
        <v>-12100</v>
      </c>
      <c r="J27" s="105">
        <f>D27/6</f>
        <v>-12100</v>
      </c>
      <c r="K27" s="105">
        <f>D27/6</f>
        <v>-12100</v>
      </c>
      <c r="L27" s="105">
        <f t="shared" si="7"/>
        <v>-72600</v>
      </c>
      <c r="M27" s="2"/>
    </row>
    <row r="28" spans="1:13" ht="12.75">
      <c r="A28" s="217">
        <v>52</v>
      </c>
      <c r="B28" s="220" t="s">
        <v>47</v>
      </c>
      <c r="C28" s="223"/>
      <c r="D28" s="234">
        <v>-3000</v>
      </c>
      <c r="E28" s="225" t="s">
        <v>149</v>
      </c>
      <c r="F28" s="105">
        <f>D28/6</f>
        <v>-500</v>
      </c>
      <c r="G28" s="105">
        <f>D28/6</f>
        <v>-500</v>
      </c>
      <c r="H28" s="105">
        <f>D28/6</f>
        <v>-500</v>
      </c>
      <c r="I28" s="105">
        <f>D28/6</f>
        <v>-500</v>
      </c>
      <c r="J28" s="105">
        <f>D28/6</f>
        <v>-500</v>
      </c>
      <c r="K28" s="105">
        <f>D28/6</f>
        <v>-500</v>
      </c>
      <c r="L28" s="105">
        <f t="shared" si="7"/>
        <v>-3000</v>
      </c>
      <c r="M28" s="2"/>
    </row>
    <row r="29" spans="1:13" ht="12.75">
      <c r="A29" s="217">
        <v>55</v>
      </c>
      <c r="B29" s="220" t="s">
        <v>372</v>
      </c>
      <c r="C29" s="223"/>
      <c r="D29" s="234">
        <v>-45000</v>
      </c>
      <c r="E29" s="225" t="s">
        <v>149</v>
      </c>
      <c r="F29" s="105">
        <f>D29/6</f>
        <v>-7500</v>
      </c>
      <c r="G29" s="105">
        <f>D29/6</f>
        <v>-7500</v>
      </c>
      <c r="H29" s="105">
        <f>D29/6</f>
        <v>-7500</v>
      </c>
      <c r="I29" s="105">
        <f>D29/6</f>
        <v>-7500</v>
      </c>
      <c r="J29" s="105">
        <f>D29/6</f>
        <v>-7500</v>
      </c>
      <c r="K29" s="105">
        <f>D29/6</f>
        <v>-7500</v>
      </c>
      <c r="L29" s="105">
        <f>SUM(F29:K29)</f>
        <v>-45000</v>
      </c>
      <c r="M29" s="2"/>
    </row>
    <row r="30" spans="1:13" ht="12.75">
      <c r="A30" s="217">
        <v>64</v>
      </c>
      <c r="B30" s="220" t="s">
        <v>48</v>
      </c>
      <c r="C30" s="223"/>
      <c r="D30" s="234">
        <v>-30000</v>
      </c>
      <c r="E30" s="225" t="s">
        <v>149</v>
      </c>
      <c r="F30" s="105">
        <f>D30/6</f>
        <v>-5000</v>
      </c>
      <c r="G30" s="105">
        <f>D30/6</f>
        <v>-5000</v>
      </c>
      <c r="H30" s="105">
        <f>D30/6</f>
        <v>-5000</v>
      </c>
      <c r="I30" s="105">
        <f>D30/6</f>
        <v>-5000</v>
      </c>
      <c r="J30" s="105">
        <f>D30/6</f>
        <v>-5000</v>
      </c>
      <c r="K30" s="105">
        <f>D30/6</f>
        <v>-5000</v>
      </c>
      <c r="L30" s="105">
        <f t="shared" si="7"/>
        <v>-30000</v>
      </c>
      <c r="M30" s="2"/>
    </row>
    <row r="31" spans="1:13" ht="12.75">
      <c r="A31" s="217">
        <v>72</v>
      </c>
      <c r="B31" s="220" t="s">
        <v>49</v>
      </c>
      <c r="C31" s="223"/>
      <c r="D31" s="223">
        <v>-5000</v>
      </c>
      <c r="E31" s="225" t="s">
        <v>149</v>
      </c>
      <c r="F31" s="105">
        <f>D31/6</f>
        <v>-833.3333333333334</v>
      </c>
      <c r="G31" s="105">
        <f>D31/6</f>
        <v>-833.3333333333334</v>
      </c>
      <c r="H31" s="105">
        <f>D31/6</f>
        <v>-833.3333333333334</v>
      </c>
      <c r="I31" s="105">
        <f>D31/6</f>
        <v>-833.3333333333334</v>
      </c>
      <c r="J31" s="105">
        <f>D31/6</f>
        <v>-833.3333333333334</v>
      </c>
      <c r="K31" s="105">
        <f>D31/6</f>
        <v>-833.3333333333334</v>
      </c>
      <c r="L31" s="105">
        <f t="shared" si="7"/>
        <v>-5000</v>
      </c>
      <c r="M31" s="2" t="s">
        <v>15</v>
      </c>
    </row>
    <row r="32" spans="1:13" ht="12.75">
      <c r="A32" s="217"/>
      <c r="B32" s="220"/>
      <c r="C32" s="223"/>
      <c r="D32" s="223"/>
      <c r="E32" s="2"/>
      <c r="F32" s="44"/>
      <c r="G32" s="44"/>
      <c r="H32" s="44"/>
      <c r="I32" s="44"/>
      <c r="J32" s="44"/>
      <c r="K32" s="44"/>
      <c r="L32" s="105"/>
      <c r="M32" s="2"/>
    </row>
    <row r="33" spans="1:13" ht="12.75">
      <c r="A33" s="217"/>
      <c r="B33" s="220" t="s">
        <v>22</v>
      </c>
      <c r="C33" s="223">
        <f>SUM(C8:C32)</f>
        <v>754800</v>
      </c>
      <c r="D33" s="223">
        <f>SUM(D8:D32)</f>
        <v>-754800</v>
      </c>
      <c r="E33" s="2"/>
      <c r="F33" s="223">
        <f aca="true" t="shared" si="8" ref="F33:L33">SUM(F8:F32)</f>
        <v>1.3301360013429075E-11</v>
      </c>
      <c r="G33" s="223">
        <f t="shared" si="8"/>
        <v>9.663381206337363E-12</v>
      </c>
      <c r="H33" s="223">
        <f t="shared" si="8"/>
        <v>-6.30961949354969E-11</v>
      </c>
      <c r="I33" s="223">
        <f t="shared" si="8"/>
        <v>9.663381206337363E-12</v>
      </c>
      <c r="J33" s="223">
        <f t="shared" si="8"/>
        <v>1.3301360013429075E-11</v>
      </c>
      <c r="K33" s="223">
        <f t="shared" si="8"/>
        <v>3.149125404888764E-11</v>
      </c>
      <c r="L33" s="223">
        <f t="shared" si="8"/>
        <v>0</v>
      </c>
      <c r="M33" s="2"/>
    </row>
    <row r="34" spans="1:13" ht="12.75">
      <c r="A34" s="217"/>
      <c r="B34" s="220"/>
      <c r="C34" s="223"/>
      <c r="D34" s="223"/>
      <c r="E34" s="2"/>
      <c r="F34" s="230"/>
      <c r="G34" s="230"/>
      <c r="H34" s="230"/>
      <c r="I34" s="230"/>
      <c r="J34" s="230"/>
      <c r="K34" s="230"/>
      <c r="L34" s="231"/>
      <c r="M34" s="62"/>
    </row>
    <row r="35" spans="1:11" ht="12.75">
      <c r="A35" s="2"/>
      <c r="B35" s="127"/>
      <c r="C35" s="232" t="s">
        <v>3</v>
      </c>
      <c r="D35" s="2"/>
      <c r="E35" s="2"/>
      <c r="F35" s="10"/>
      <c r="G35" s="10"/>
      <c r="H35" s="10"/>
      <c r="I35" s="10"/>
      <c r="J35" s="10"/>
      <c r="K35" s="10"/>
    </row>
    <row r="36" spans="1:11" ht="12.75">
      <c r="A36" s="2"/>
      <c r="B36" s="127" t="s">
        <v>373</v>
      </c>
      <c r="C36" s="232" t="s">
        <v>374</v>
      </c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2" t="s">
        <v>137</v>
      </c>
      <c r="B37" s="127">
        <v>59</v>
      </c>
      <c r="C37" s="129">
        <f aca="true" t="shared" si="9" ref="C37:C42">B37*100/$B$43</f>
        <v>4.259927797833935</v>
      </c>
      <c r="D37" s="44"/>
      <c r="E37" s="44"/>
      <c r="F37" s="44"/>
      <c r="G37" s="44"/>
      <c r="H37" s="44"/>
      <c r="I37" s="44"/>
      <c r="J37" s="44"/>
      <c r="K37" s="2"/>
    </row>
    <row r="38" spans="1:11" ht="12.75">
      <c r="A38" s="2" t="s">
        <v>152</v>
      </c>
      <c r="B38" s="127">
        <v>92</v>
      </c>
      <c r="C38" s="129">
        <f t="shared" si="9"/>
        <v>6.64259927797834</v>
      </c>
      <c r="D38" s="2"/>
      <c r="E38" s="2"/>
      <c r="F38" s="2"/>
      <c r="G38" s="2" t="s">
        <v>15</v>
      </c>
      <c r="H38" s="2"/>
      <c r="I38" s="2"/>
      <c r="J38" s="2"/>
      <c r="K38" s="2"/>
    </row>
    <row r="39" spans="1:11" ht="12.75">
      <c r="A39" s="2" t="s">
        <v>138</v>
      </c>
      <c r="B39" s="127">
        <v>806</v>
      </c>
      <c r="C39" s="129">
        <f t="shared" si="9"/>
        <v>58.194945848375454</v>
      </c>
      <c r="D39" s="2"/>
      <c r="E39" s="2"/>
      <c r="F39" s="2"/>
      <c r="G39" s="2" t="s">
        <v>15</v>
      </c>
      <c r="H39" s="2"/>
      <c r="I39" s="2"/>
      <c r="J39" s="2"/>
      <c r="K39" s="2"/>
    </row>
    <row r="40" spans="1:11" ht="12.75">
      <c r="A40" s="2" t="s">
        <v>139</v>
      </c>
      <c r="B40" s="127">
        <v>70</v>
      </c>
      <c r="C40" s="129">
        <f t="shared" si="9"/>
        <v>5.054151624548736</v>
      </c>
      <c r="D40" s="2"/>
      <c r="E40" s="2"/>
      <c r="F40" s="2"/>
      <c r="G40" s="2"/>
      <c r="H40" s="2"/>
      <c r="I40" s="2"/>
      <c r="J40" s="2"/>
      <c r="K40" s="2"/>
    </row>
    <row r="41" spans="1:11" ht="12.75">
      <c r="A41" s="2" t="s">
        <v>140</v>
      </c>
      <c r="B41" s="127">
        <v>45</v>
      </c>
      <c r="C41" s="129">
        <f t="shared" si="9"/>
        <v>3.2490974729241877</v>
      </c>
      <c r="D41" s="44"/>
      <c r="E41" s="44"/>
      <c r="F41" s="44"/>
      <c r="G41" s="44"/>
      <c r="H41" s="44"/>
      <c r="I41" s="44"/>
      <c r="J41" s="2"/>
      <c r="K41" s="2"/>
    </row>
    <row r="42" spans="1:11" ht="12.75">
      <c r="A42" s="2" t="s">
        <v>141</v>
      </c>
      <c r="B42" s="127">
        <v>313</v>
      </c>
      <c r="C42" s="129">
        <f t="shared" si="9"/>
        <v>22.59927797833935</v>
      </c>
      <c r="D42" s="2"/>
      <c r="E42" s="2"/>
      <c r="F42" s="105"/>
      <c r="G42" s="2"/>
      <c r="H42" s="2"/>
      <c r="I42" s="2"/>
      <c r="J42" s="2"/>
      <c r="K42" s="2"/>
    </row>
    <row r="43" spans="1:3" ht="12.75">
      <c r="A43" s="2" t="s">
        <v>375</v>
      </c>
      <c r="B43" s="127">
        <f>SUBTOTAL(9,B37:B42)</f>
        <v>1385</v>
      </c>
      <c r="C43" s="186">
        <f>SUBTOTAL(9,C37:C42)</f>
        <v>100</v>
      </c>
    </row>
    <row r="44" spans="6:11" ht="12.75">
      <c r="F44" s="192"/>
      <c r="G44" s="192"/>
      <c r="H44" s="192"/>
      <c r="I44" s="192"/>
      <c r="J44" s="192"/>
      <c r="K44" s="192"/>
    </row>
    <row r="46" ht="12.75">
      <c r="D46" s="192"/>
    </row>
    <row r="48" ht="12.75">
      <c r="E48" s="192"/>
    </row>
  </sheetData>
  <sheetProtection/>
  <printOptions/>
  <pageMargins left="0.37" right="0.23" top="0.31496062992125984" bottom="0.6692913385826772" header="0.1968503937007874" footer="0.5118110236220472"/>
  <pageSetup horizontalDpi="600" verticalDpi="600" orientation="landscape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zoomScale="75" zoomScaleNormal="75" zoomScalePageLayoutView="0" workbookViewId="0" topLeftCell="A1">
      <selection activeCell="E29" sqref="E29"/>
    </sheetView>
  </sheetViews>
  <sheetFormatPr defaultColWidth="11.421875" defaultRowHeight="12.75"/>
  <cols>
    <col min="1" max="1" width="11.421875" style="2" customWidth="1"/>
    <col min="2" max="2" width="41.28125" style="2" customWidth="1"/>
    <col min="3" max="3" width="12.57421875" style="2" customWidth="1"/>
    <col min="4" max="4" width="13.7109375" style="2" customWidth="1"/>
    <col min="5" max="5" width="11.421875" style="44" customWidth="1"/>
    <col min="7" max="7" width="13.140625" style="0" customWidth="1"/>
  </cols>
  <sheetData>
    <row r="1" spans="1:7" s="2" customFormat="1" ht="23.25">
      <c r="A1" s="85" t="s">
        <v>144</v>
      </c>
      <c r="B1" s="1"/>
      <c r="C1" s="1"/>
      <c r="D1" s="142"/>
      <c r="E1" s="61"/>
      <c r="F1" s="120" t="s">
        <v>151</v>
      </c>
      <c r="G1" s="122">
        <f ca="1">TODAY()</f>
        <v>40570</v>
      </c>
    </row>
    <row r="2" spans="1:7" s="2" customFormat="1" ht="6.75" customHeight="1">
      <c r="A2" s="85"/>
      <c r="B2" s="1"/>
      <c r="C2" s="1"/>
      <c r="D2" s="142"/>
      <c r="E2" s="136"/>
      <c r="F2" s="5"/>
      <c r="G2" s="1"/>
    </row>
    <row r="3" spans="1:7" ht="20.25">
      <c r="A3" s="30"/>
      <c r="B3" s="26" t="s">
        <v>297</v>
      </c>
      <c r="C3" s="27"/>
      <c r="D3" s="142"/>
      <c r="E3" s="137" t="s">
        <v>298</v>
      </c>
      <c r="F3" s="27"/>
      <c r="G3" s="61"/>
    </row>
    <row r="4" spans="1:8" ht="12.75">
      <c r="A4" s="30"/>
      <c r="B4" s="28"/>
      <c r="C4" s="28"/>
      <c r="D4" s="143"/>
      <c r="E4" s="138"/>
      <c r="F4" s="2"/>
      <c r="G4" s="2"/>
      <c r="H4" s="61"/>
    </row>
    <row r="5" spans="1:8" ht="12.75">
      <c r="A5" s="30"/>
      <c r="B5" s="28"/>
      <c r="C5" s="28"/>
      <c r="D5" s="143"/>
      <c r="E5" s="138"/>
      <c r="F5" s="2"/>
      <c r="G5" s="2"/>
      <c r="H5" s="61"/>
    </row>
    <row r="6" spans="1:8" ht="12.75">
      <c r="A6" s="30" t="s">
        <v>25</v>
      </c>
      <c r="B6" s="28" t="s">
        <v>11</v>
      </c>
      <c r="C6" s="28" t="s">
        <v>26</v>
      </c>
      <c r="D6" s="143" t="s">
        <v>27</v>
      </c>
      <c r="E6" s="138"/>
      <c r="F6" s="28" t="s">
        <v>26</v>
      </c>
      <c r="G6" s="28" t="s">
        <v>27</v>
      </c>
      <c r="H6" s="61"/>
    </row>
    <row r="7" spans="1:8" ht="12.75">
      <c r="A7" s="30"/>
      <c r="B7" s="28"/>
      <c r="C7" s="28"/>
      <c r="D7" s="143"/>
      <c r="E7" s="138"/>
      <c r="F7" s="2"/>
      <c r="G7" s="2"/>
      <c r="H7" s="61"/>
    </row>
    <row r="8" spans="1:8" ht="12.75">
      <c r="A8" s="30" t="s">
        <v>34</v>
      </c>
      <c r="B8" s="28" t="s">
        <v>35</v>
      </c>
      <c r="C8" s="10">
        <f>konto2010!G43</f>
        <v>486355</v>
      </c>
      <c r="D8" s="143"/>
      <c r="E8" s="139"/>
      <c r="F8" s="223">
        <v>423800</v>
      </c>
      <c r="G8" s="118"/>
      <c r="H8" s="61"/>
    </row>
    <row r="9" spans="1:8" ht="12.75">
      <c r="A9" s="30" t="s">
        <v>36</v>
      </c>
      <c r="B9" s="28" t="s">
        <v>37</v>
      </c>
      <c r="C9" s="10">
        <f>konto2010!G48</f>
        <v>1638.9</v>
      </c>
      <c r="D9" s="143"/>
      <c r="E9" s="139"/>
      <c r="F9" s="223">
        <v>0</v>
      </c>
      <c r="G9" s="118"/>
      <c r="H9" s="61"/>
    </row>
    <row r="10" spans="1:8" ht="12.75">
      <c r="A10" s="30" t="s">
        <v>38</v>
      </c>
      <c r="B10" s="28" t="s">
        <v>39</v>
      </c>
      <c r="C10" s="10">
        <f>konto2010!G52</f>
        <v>0</v>
      </c>
      <c r="D10" s="143"/>
      <c r="E10" s="139"/>
      <c r="F10" s="223">
        <v>0</v>
      </c>
      <c r="G10" s="118"/>
      <c r="H10" s="61"/>
    </row>
    <row r="11" spans="1:8" ht="12.75">
      <c r="A11" s="31" t="s">
        <v>54</v>
      </c>
      <c r="B11" s="29" t="s">
        <v>55</v>
      </c>
      <c r="C11" s="10">
        <f>konto2010!G58</f>
        <v>20245</v>
      </c>
      <c r="D11" s="144"/>
      <c r="E11" s="140"/>
      <c r="F11" s="233">
        <f>10000+10000</f>
        <v>20000</v>
      </c>
      <c r="G11" s="76"/>
      <c r="H11" s="61"/>
    </row>
    <row r="12" spans="1:8" ht="12.75">
      <c r="A12" s="275" t="s">
        <v>225</v>
      </c>
      <c r="B12" s="276" t="s">
        <v>1061</v>
      </c>
      <c r="C12" s="251">
        <f>konto2010!G62</f>
        <v>15580</v>
      </c>
      <c r="D12" s="143"/>
      <c r="E12" s="139"/>
      <c r="F12" s="234">
        <v>0</v>
      </c>
      <c r="G12" s="118"/>
      <c r="H12" s="61"/>
    </row>
    <row r="13" spans="1:8" ht="12.75">
      <c r="A13" s="30">
        <v>32</v>
      </c>
      <c r="B13" s="28" t="s">
        <v>40</v>
      </c>
      <c r="C13" s="10">
        <f>konto2010!G66</f>
        <v>1000</v>
      </c>
      <c r="D13" s="143"/>
      <c r="E13" s="139"/>
      <c r="F13" s="234">
        <v>1000</v>
      </c>
      <c r="G13" s="118"/>
      <c r="H13" s="61"/>
    </row>
    <row r="14" spans="1:8" ht="12.75">
      <c r="A14" s="30" t="s">
        <v>183</v>
      </c>
      <c r="B14" s="83" t="s">
        <v>184</v>
      </c>
      <c r="C14" s="10">
        <f>konto2010!G92</f>
        <v>22350</v>
      </c>
      <c r="D14" s="143"/>
      <c r="E14" s="139"/>
      <c r="F14" s="234">
        <v>16000</v>
      </c>
      <c r="G14" s="118"/>
      <c r="H14" s="61"/>
    </row>
    <row r="15" spans="1:8" ht="12.75">
      <c r="A15" s="30" t="s">
        <v>14</v>
      </c>
      <c r="B15" s="28" t="s">
        <v>52</v>
      </c>
      <c r="C15" s="10">
        <f>konto2010!G138</f>
        <v>104997.90000000001</v>
      </c>
      <c r="D15" s="143"/>
      <c r="E15" s="139"/>
      <c r="F15" s="234">
        <v>36500</v>
      </c>
      <c r="G15" s="118"/>
      <c r="H15" s="61"/>
    </row>
    <row r="16" spans="1:8" ht="12.75">
      <c r="A16" s="30" t="s">
        <v>41</v>
      </c>
      <c r="B16" s="28" t="s">
        <v>42</v>
      </c>
      <c r="C16" s="10">
        <f>konto2010!G173</f>
        <v>123020.01000000001</v>
      </c>
      <c r="D16" s="143"/>
      <c r="E16" s="139"/>
      <c r="F16" s="234">
        <v>107500</v>
      </c>
      <c r="G16" s="118"/>
      <c r="H16" s="61" t="s">
        <v>15</v>
      </c>
    </row>
    <row r="17" spans="1:8" ht="12.75">
      <c r="A17" s="30">
        <v>35</v>
      </c>
      <c r="B17" s="28" t="s">
        <v>44</v>
      </c>
      <c r="C17" s="10">
        <f>konto2010!G266</f>
        <v>125909</v>
      </c>
      <c r="D17" s="143"/>
      <c r="E17" s="139"/>
      <c r="F17" s="234">
        <v>30000</v>
      </c>
      <c r="G17" s="118"/>
      <c r="H17" s="61"/>
    </row>
    <row r="18" spans="1:8" ht="12.75">
      <c r="A18" s="30" t="s">
        <v>186</v>
      </c>
      <c r="B18" s="28" t="s">
        <v>188</v>
      </c>
      <c r="C18" s="10">
        <f>konto2010!G270</f>
        <v>3200</v>
      </c>
      <c r="D18" s="143"/>
      <c r="E18" s="139"/>
      <c r="F18" s="234">
        <v>5000</v>
      </c>
      <c r="G18" s="118"/>
      <c r="H18" s="61"/>
    </row>
    <row r="19" spans="1:8" ht="12.75">
      <c r="A19" s="30" t="s">
        <v>187</v>
      </c>
      <c r="B19" s="28" t="s">
        <v>2</v>
      </c>
      <c r="C19" s="10">
        <f>konto2010!G274</f>
        <v>2240</v>
      </c>
      <c r="D19" s="143"/>
      <c r="E19" s="139"/>
      <c r="F19" s="234">
        <v>20000</v>
      </c>
      <c r="G19" s="118"/>
      <c r="H19" s="61"/>
    </row>
    <row r="20" spans="1:8" ht="12.75">
      <c r="A20" s="30" t="s">
        <v>246</v>
      </c>
      <c r="B20" s="28" t="s">
        <v>45</v>
      </c>
      <c r="C20" s="10">
        <f>konto2010!G283</f>
        <v>96000</v>
      </c>
      <c r="D20" s="143"/>
      <c r="E20" s="139"/>
      <c r="F20" s="234">
        <v>95000</v>
      </c>
      <c r="G20" s="118"/>
      <c r="H20" s="61"/>
    </row>
    <row r="21" spans="1:8" ht="12.75">
      <c r="A21" s="30"/>
      <c r="B21" s="28"/>
      <c r="C21" s="44"/>
      <c r="D21" s="143"/>
      <c r="E21" s="138"/>
      <c r="F21" s="118"/>
      <c r="G21" s="119"/>
      <c r="H21" s="61"/>
    </row>
    <row r="22" spans="1:8" ht="12.75">
      <c r="A22" s="30" t="s">
        <v>114</v>
      </c>
      <c r="B22" s="83" t="s">
        <v>116</v>
      </c>
      <c r="D22" s="145">
        <f>konto2010!G390</f>
        <v>-200456.78</v>
      </c>
      <c r="E22" s="139"/>
      <c r="F22" s="118"/>
      <c r="G22" s="223">
        <v>-190000</v>
      </c>
      <c r="H22" s="61"/>
    </row>
    <row r="23" spans="1:8" ht="12.75">
      <c r="A23" s="30" t="s">
        <v>115</v>
      </c>
      <c r="B23" s="28" t="s">
        <v>150</v>
      </c>
      <c r="D23" s="145">
        <f>konto2010!G421</f>
        <v>-134570.52000000002</v>
      </c>
      <c r="E23" s="139"/>
      <c r="F23" s="118"/>
      <c r="G23" s="223">
        <v>-123500</v>
      </c>
      <c r="H23" s="61"/>
    </row>
    <row r="24" spans="1:8" ht="12.75">
      <c r="A24" s="30">
        <v>41</v>
      </c>
      <c r="B24" s="83" t="s">
        <v>46</v>
      </c>
      <c r="D24" s="145">
        <f>konto2010!G426</f>
        <v>-2211</v>
      </c>
      <c r="E24" s="139"/>
      <c r="F24" s="118"/>
      <c r="G24" s="223">
        <v>-1000</v>
      </c>
      <c r="H24" s="61"/>
    </row>
    <row r="25" spans="1:8" ht="12.75">
      <c r="A25" s="30" t="s">
        <v>226</v>
      </c>
      <c r="B25" s="83" t="s">
        <v>133</v>
      </c>
      <c r="D25" s="145">
        <f>konto2010!G452</f>
        <v>-36709.97</v>
      </c>
      <c r="E25" s="139"/>
      <c r="F25" s="118"/>
      <c r="G25" s="234">
        <v>-57000</v>
      </c>
      <c r="H25" s="61"/>
    </row>
    <row r="26" spans="1:8" ht="12.75">
      <c r="A26" s="30" t="s">
        <v>259</v>
      </c>
      <c r="B26" s="28" t="s">
        <v>260</v>
      </c>
      <c r="D26" s="145">
        <f>konto2010!G468</f>
        <v>-43550</v>
      </c>
      <c r="E26" s="139"/>
      <c r="F26" s="118"/>
      <c r="G26" s="234">
        <v>-47500</v>
      </c>
      <c r="H26" s="61"/>
    </row>
    <row r="27" spans="1:8" ht="12.75">
      <c r="A27" s="30">
        <v>44</v>
      </c>
      <c r="B27" s="28" t="s">
        <v>147</v>
      </c>
      <c r="D27" s="145">
        <f>konto2010!G510</f>
        <v>-203443.5</v>
      </c>
      <c r="E27" s="139"/>
      <c r="F27" s="118"/>
      <c r="G27" s="234">
        <v>-180200</v>
      </c>
      <c r="H27" s="61"/>
    </row>
    <row r="28" spans="1:8" ht="12.75">
      <c r="A28" s="30">
        <v>45</v>
      </c>
      <c r="B28" s="83" t="s">
        <v>132</v>
      </c>
      <c r="D28" s="145">
        <f>konto2010!G543</f>
        <v>-153620.25</v>
      </c>
      <c r="E28" s="139"/>
      <c r="F28" s="118"/>
      <c r="G28" s="234">
        <v>-72600</v>
      </c>
      <c r="H28" s="61"/>
    </row>
    <row r="29" spans="1:8" ht="12.75">
      <c r="A29" s="30">
        <v>52</v>
      </c>
      <c r="B29" s="28" t="s">
        <v>47</v>
      </c>
      <c r="D29" s="145">
        <f>konto2010!G589</f>
        <v>-3978.4</v>
      </c>
      <c r="E29" s="139"/>
      <c r="F29" s="118"/>
      <c r="G29" s="234">
        <v>-3000</v>
      </c>
      <c r="H29" s="61"/>
    </row>
    <row r="30" spans="1:8" ht="12.75">
      <c r="A30" s="30">
        <v>55</v>
      </c>
      <c r="B30" s="28" t="s">
        <v>372</v>
      </c>
      <c r="D30" s="145">
        <f>konto2010!G598</f>
        <v>-45000</v>
      </c>
      <c r="E30" s="139"/>
      <c r="F30" s="118"/>
      <c r="G30" s="234">
        <v>-45000</v>
      </c>
      <c r="H30" s="61"/>
    </row>
    <row r="31" spans="1:8" ht="12.75">
      <c r="A31" s="30">
        <v>64</v>
      </c>
      <c r="B31" s="28" t="s">
        <v>48</v>
      </c>
      <c r="D31" s="145">
        <f>konto2010!G608</f>
        <v>-143304.5</v>
      </c>
      <c r="E31" s="139"/>
      <c r="F31" s="118"/>
      <c r="G31" s="234">
        <v>-30000</v>
      </c>
      <c r="H31" s="61"/>
    </row>
    <row r="32" spans="1:8" ht="12.75">
      <c r="A32" s="30">
        <v>72</v>
      </c>
      <c r="B32" s="28" t="s">
        <v>49</v>
      </c>
      <c r="D32" s="145">
        <f>konto2010!G612</f>
        <v>-4500</v>
      </c>
      <c r="E32" s="139"/>
      <c r="F32" s="118"/>
      <c r="G32" s="223">
        <v>-5000</v>
      </c>
      <c r="H32" s="61"/>
    </row>
    <row r="33" spans="1:8" ht="12.75">
      <c r="A33" s="30">
        <v>80</v>
      </c>
      <c r="B33" s="28" t="s">
        <v>50</v>
      </c>
      <c r="C33" s="28">
        <f>konto2010!G616</f>
        <v>82.65</v>
      </c>
      <c r="D33" s="142"/>
      <c r="E33" s="138"/>
      <c r="F33" s="28"/>
      <c r="H33" s="61"/>
    </row>
    <row r="34" spans="1:8" ht="12.75">
      <c r="A34" s="30"/>
      <c r="B34" s="28"/>
      <c r="C34" s="28"/>
      <c r="D34" s="143"/>
      <c r="E34" s="138"/>
      <c r="F34" s="28"/>
      <c r="G34" s="28"/>
      <c r="H34" s="61"/>
    </row>
    <row r="35" spans="1:8" ht="13.5" thickBot="1">
      <c r="A35" s="30"/>
      <c r="C35" s="95">
        <f>SUM(C8:C34)</f>
        <v>1002618.4600000001</v>
      </c>
      <c r="D35" s="146">
        <f>SUM(D22:D34)</f>
        <v>-971344.92</v>
      </c>
      <c r="E35" s="138"/>
      <c r="F35" s="95">
        <f>SUM(F8:F34)</f>
        <v>754800</v>
      </c>
      <c r="G35" s="95">
        <f>SUM(G8:G34)</f>
        <v>-754800</v>
      </c>
      <c r="H35" s="61"/>
    </row>
    <row r="36" spans="1:8" ht="13.5" thickTop="1">
      <c r="A36" s="30"/>
      <c r="C36" s="94"/>
      <c r="D36" s="147">
        <f>C35+D35</f>
        <v>31273.540000000037</v>
      </c>
      <c r="E36" s="138"/>
      <c r="F36" s="94"/>
      <c r="G36" s="94"/>
      <c r="H36" s="61"/>
    </row>
    <row r="37" spans="1:8" ht="12.75">
      <c r="A37" s="30"/>
      <c r="C37" s="28"/>
      <c r="D37" s="143"/>
      <c r="E37" s="138"/>
      <c r="F37" s="28"/>
      <c r="G37" s="28"/>
      <c r="H37" s="61"/>
    </row>
    <row r="38" spans="1:8" ht="12.75">
      <c r="A38" s="30"/>
      <c r="C38" s="28"/>
      <c r="D38" s="143"/>
      <c r="E38" s="138"/>
      <c r="F38" s="28"/>
      <c r="G38" s="28"/>
      <c r="H38" s="61"/>
    </row>
    <row r="39" spans="1:8" ht="12.75">
      <c r="A39" s="30"/>
      <c r="C39" s="28"/>
      <c r="D39" s="143"/>
      <c r="E39" s="138"/>
      <c r="F39" s="2"/>
      <c r="G39" s="2"/>
      <c r="H39" s="61"/>
    </row>
    <row r="40" spans="1:8" ht="12.75">
      <c r="A40" s="84" t="s">
        <v>299</v>
      </c>
      <c r="C40" s="76"/>
      <c r="D40" s="145">
        <f>'REGNSK.2010'!G7</f>
        <v>2755.46</v>
      </c>
      <c r="E40" s="138"/>
      <c r="F40" s="2"/>
      <c r="G40" s="2"/>
      <c r="H40" s="61"/>
    </row>
    <row r="41" spans="1:8" ht="12.75">
      <c r="A41" s="84" t="s">
        <v>300</v>
      </c>
      <c r="C41" s="76">
        <f>'REGNSK.2010'!E535</f>
        <v>34029.00000000002</v>
      </c>
      <c r="D41" s="148"/>
      <c r="E41" s="138"/>
      <c r="F41" s="2"/>
      <c r="G41" s="2"/>
      <c r="H41" s="61"/>
    </row>
    <row r="42" spans="1:8" ht="12.75">
      <c r="A42" s="84" t="s">
        <v>301</v>
      </c>
      <c r="C42" s="76">
        <f>'REGNSK.2010'!F535</f>
        <v>0</v>
      </c>
      <c r="D42" s="148"/>
      <c r="E42" s="138"/>
      <c r="F42" s="2"/>
      <c r="G42" s="2"/>
      <c r="H42" s="2"/>
    </row>
    <row r="43" spans="1:8" ht="12.75">
      <c r="A43" s="83" t="s">
        <v>302</v>
      </c>
      <c r="C43" s="10"/>
      <c r="D43" s="145">
        <f>D36</f>
        <v>31273.540000000037</v>
      </c>
      <c r="E43" s="138"/>
      <c r="F43" s="2"/>
      <c r="G43" s="2"/>
      <c r="H43" s="2"/>
    </row>
    <row r="44" spans="1:9" ht="13.5" thickBot="1">
      <c r="A44" s="84" t="s">
        <v>303</v>
      </c>
      <c r="C44" s="93">
        <f>SUM(C41:C43)</f>
        <v>34029.00000000002</v>
      </c>
      <c r="D44" s="145">
        <f>SUM(D40:D43)</f>
        <v>34029.00000000004</v>
      </c>
      <c r="E44" s="141"/>
      <c r="F44" s="52"/>
      <c r="G44" s="52"/>
      <c r="H44" s="2"/>
      <c r="I44" s="90"/>
    </row>
    <row r="45" spans="1:9" ht="6.75" customHeight="1" thickTop="1">
      <c r="A45" s="52"/>
      <c r="B45" s="69"/>
      <c r="C45" s="92"/>
      <c r="D45" s="70"/>
      <c r="E45" s="67"/>
      <c r="F45" s="52"/>
      <c r="G45" s="52"/>
      <c r="H45" s="2"/>
      <c r="I45" s="90"/>
    </row>
    <row r="46" spans="2:22" s="2" customFormat="1" ht="12.75">
      <c r="B46" s="29"/>
      <c r="E46" s="44"/>
      <c r="I46" s="9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2:5" s="62" customFormat="1" ht="12.75">
      <c r="B47" s="68"/>
      <c r="E47" s="63"/>
    </row>
    <row r="48" spans="2:5" s="62" customFormat="1" ht="12.75">
      <c r="B48" s="207" t="s">
        <v>304</v>
      </c>
      <c r="E48" s="63"/>
    </row>
    <row r="49" spans="2:5" s="62" customFormat="1" ht="12.75">
      <c r="B49" s="68"/>
      <c r="E49" s="63"/>
    </row>
    <row r="50" spans="2:5" s="62" customFormat="1" ht="12.75">
      <c r="B50" s="68" t="s">
        <v>113</v>
      </c>
      <c r="D50" s="62" t="s">
        <v>110</v>
      </c>
      <c r="E50" s="63"/>
    </row>
    <row r="51" s="62" customFormat="1" ht="12.75">
      <c r="E51" s="63"/>
    </row>
    <row r="52" spans="2:5" s="62" customFormat="1" ht="12.75">
      <c r="B52" s="62" t="s">
        <v>112</v>
      </c>
      <c r="D52" s="62" t="s">
        <v>111</v>
      </c>
      <c r="E52" s="63"/>
    </row>
    <row r="53" s="62" customFormat="1" ht="12.75">
      <c r="E53" s="63"/>
    </row>
    <row r="54" s="62" customFormat="1" ht="12.75">
      <c r="E54" s="63"/>
    </row>
    <row r="55" spans="1:6" ht="12.75">
      <c r="A55" s="62"/>
      <c r="B55" s="62"/>
      <c r="C55" s="62"/>
      <c r="D55" s="62"/>
      <c r="E55" s="63"/>
      <c r="F55" s="62"/>
    </row>
    <row r="56" spans="1:6" ht="12.75">
      <c r="A56" s="62"/>
      <c r="B56" s="62"/>
      <c r="C56" s="62"/>
      <c r="D56" s="62"/>
      <c r="E56" s="63"/>
      <c r="F56" s="62"/>
    </row>
    <row r="57" spans="1:6" ht="12.75">
      <c r="A57" s="62"/>
      <c r="B57" s="62"/>
      <c r="C57" s="62"/>
      <c r="D57" s="62"/>
      <c r="E57" s="63"/>
      <c r="F57" s="62"/>
    </row>
    <row r="58" spans="1:6" ht="12.75">
      <c r="A58" s="62"/>
      <c r="B58" s="62"/>
      <c r="C58" s="62"/>
      <c r="D58" s="62"/>
      <c r="E58" s="63"/>
      <c r="F58" s="62"/>
    </row>
    <row r="59" spans="1:6" ht="12.75">
      <c r="A59" s="62"/>
      <c r="B59" s="62"/>
      <c r="C59" s="62"/>
      <c r="D59" s="62"/>
      <c r="E59" s="63"/>
      <c r="F59" s="62"/>
    </row>
    <row r="60" spans="1:6" ht="12.75">
      <c r="A60" s="62"/>
      <c r="B60" s="62"/>
      <c r="C60" s="62"/>
      <c r="D60" s="62"/>
      <c r="E60" s="63"/>
      <c r="F60" s="62"/>
    </row>
    <row r="61" spans="1:6" ht="12.75">
      <c r="A61" s="62"/>
      <c r="B61" s="62"/>
      <c r="C61" s="62"/>
      <c r="D61" s="62"/>
      <c r="E61" s="63"/>
      <c r="F61" s="62"/>
    </row>
    <row r="62" spans="1:6" ht="12.75">
      <c r="A62" s="62"/>
      <c r="B62" s="62"/>
      <c r="C62" s="62"/>
      <c r="D62" s="62"/>
      <c r="E62" s="63"/>
      <c r="F62" s="62"/>
    </row>
    <row r="63" spans="1:6" ht="12.75">
      <c r="A63" s="62"/>
      <c r="B63" s="62"/>
      <c r="C63" s="62"/>
      <c r="D63" s="62"/>
      <c r="E63" s="63"/>
      <c r="F63" s="62"/>
    </row>
    <row r="64" spans="1:6" ht="12.75">
      <c r="A64" s="62"/>
      <c r="B64" s="62"/>
      <c r="C64" s="62"/>
      <c r="D64" s="62"/>
      <c r="E64" s="63"/>
      <c r="F64" s="62"/>
    </row>
    <row r="65" spans="1:6" ht="12.75">
      <c r="A65" s="62"/>
      <c r="B65" s="62"/>
      <c r="C65" s="62"/>
      <c r="D65" s="62"/>
      <c r="E65" s="63"/>
      <c r="F65" s="62"/>
    </row>
    <row r="66" spans="1:6" ht="12.75">
      <c r="A66" s="62"/>
      <c r="B66" s="62"/>
      <c r="C66" s="62"/>
      <c r="D66" s="62"/>
      <c r="E66" s="63"/>
      <c r="F66" s="62"/>
    </row>
    <row r="67" spans="1:6" ht="12.75">
      <c r="A67" s="62"/>
      <c r="B67" s="62"/>
      <c r="C67" s="62"/>
      <c r="D67" s="62"/>
      <c r="E67" s="63"/>
      <c r="F67" s="62"/>
    </row>
    <row r="68" spans="1:6" ht="12.75">
      <c r="A68" s="62"/>
      <c r="B68" s="62"/>
      <c r="C68" s="62"/>
      <c r="D68" s="62"/>
      <c r="E68" s="63"/>
      <c r="F68" s="62"/>
    </row>
    <row r="69" spans="1:6" ht="12.75">
      <c r="A69" s="62"/>
      <c r="B69" s="62"/>
      <c r="C69" s="62"/>
      <c r="D69" s="62"/>
      <c r="E69" s="63"/>
      <c r="F69" s="62"/>
    </row>
    <row r="70" spans="1:6" ht="12.75">
      <c r="A70" s="62"/>
      <c r="B70" s="62"/>
      <c r="C70" s="62"/>
      <c r="D70" s="62"/>
      <c r="E70" s="63"/>
      <c r="F70" s="62"/>
    </row>
    <row r="71" spans="1:6" ht="12.75">
      <c r="A71" s="62"/>
      <c r="B71" s="62"/>
      <c r="C71" s="62"/>
      <c r="D71" s="62"/>
      <c r="E71" s="63"/>
      <c r="F71" s="62"/>
    </row>
    <row r="72" spans="1:6" ht="12.75">
      <c r="A72" s="62"/>
      <c r="B72" s="62"/>
      <c r="C72" s="62"/>
      <c r="D72" s="62"/>
      <c r="E72" s="63"/>
      <c r="F72" s="62"/>
    </row>
    <row r="73" spans="1:6" ht="12.75">
      <c r="A73" s="62"/>
      <c r="B73" s="62"/>
      <c r="C73" s="62"/>
      <c r="D73" s="62"/>
      <c r="E73" s="63"/>
      <c r="F73" s="62"/>
    </row>
    <row r="74" spans="1:6" ht="12.75">
      <c r="A74" s="62"/>
      <c r="B74" s="62"/>
      <c r="C74" s="62"/>
      <c r="D74" s="62"/>
      <c r="E74" s="63"/>
      <c r="F74" s="62"/>
    </row>
    <row r="75" spans="1:6" ht="12.75">
      <c r="A75" s="62"/>
      <c r="B75" s="62"/>
      <c r="C75" s="62"/>
      <c r="D75" s="62"/>
      <c r="E75" s="63"/>
      <c r="F75" s="62"/>
    </row>
    <row r="76" spans="1:6" ht="12.75">
      <c r="A76" s="62"/>
      <c r="B76" s="62"/>
      <c r="C76" s="62"/>
      <c r="D76" s="62"/>
      <c r="E76" s="63"/>
      <c r="F76" s="62"/>
    </row>
    <row r="77" spans="1:6" ht="12.75">
      <c r="A77" s="62"/>
      <c r="B77" s="62"/>
      <c r="C77" s="62"/>
      <c r="D77" s="62"/>
      <c r="E77" s="63"/>
      <c r="F77" s="62"/>
    </row>
    <row r="78" spans="1:6" ht="12.75">
      <c r="A78" s="62"/>
      <c r="B78" s="62"/>
      <c r="C78" s="62"/>
      <c r="D78" s="62"/>
      <c r="E78" s="63"/>
      <c r="F78" s="62"/>
    </row>
    <row r="79" spans="1:6" ht="12.75">
      <c r="A79" s="62"/>
      <c r="B79" s="62"/>
      <c r="C79" s="62"/>
      <c r="D79" s="62"/>
      <c r="E79" s="63"/>
      <c r="F79" s="62"/>
    </row>
    <row r="80" spans="1:6" ht="12.75">
      <c r="A80" s="62"/>
      <c r="B80" s="62"/>
      <c r="C80" s="62"/>
      <c r="D80" s="62"/>
      <c r="E80" s="63"/>
      <c r="F80" s="62"/>
    </row>
    <row r="81" spans="1:6" ht="12.75">
      <c r="A81" s="62"/>
      <c r="B81" s="62"/>
      <c r="C81" s="62"/>
      <c r="D81" s="62"/>
      <c r="E81" s="63"/>
      <c r="F81" s="62"/>
    </row>
    <row r="82" spans="1:6" ht="12.75">
      <c r="A82" s="62"/>
      <c r="B82" s="62"/>
      <c r="C82" s="62"/>
      <c r="D82" s="62"/>
      <c r="E82" s="63"/>
      <c r="F82" s="62"/>
    </row>
  </sheetData>
  <sheetProtection/>
  <printOptions/>
  <pageMargins left="0.787401575" right="0.787401575" top="0.54" bottom="0.7" header="0.29" footer="0.5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6"/>
  <sheetViews>
    <sheetView zoomScale="75" zoomScaleNormal="75" zoomScalePageLayoutView="0" workbookViewId="0" topLeftCell="A1">
      <pane ySplit="5" topLeftCell="A106" activePane="bottomLeft" state="frozen"/>
      <selection pane="topLeft" activeCell="A1" sqref="A1"/>
      <selection pane="bottomLeft" activeCell="A154" sqref="A154"/>
    </sheetView>
  </sheetViews>
  <sheetFormatPr defaultColWidth="11.421875" defaultRowHeight="12.75"/>
  <cols>
    <col min="1" max="1" width="55.28125" style="2" customWidth="1"/>
    <col min="2" max="4" width="11.57421875" style="44" customWidth="1"/>
    <col min="5" max="8" width="11.57421875" style="9" customWidth="1"/>
    <col min="9" max="10" width="11.421875" style="9" customWidth="1"/>
    <col min="11" max="11" width="11.00390625" style="149" customWidth="1"/>
    <col min="12" max="12" width="14.7109375" style="2" customWidth="1"/>
    <col min="13" max="14" width="1.28515625" style="2" customWidth="1"/>
    <col min="15" max="16384" width="11.421875" style="2" customWidth="1"/>
  </cols>
  <sheetData>
    <row r="2" spans="1:4" ht="15.75">
      <c r="A2" s="15" t="s">
        <v>6</v>
      </c>
      <c r="B2" s="45"/>
      <c r="C2" s="9"/>
      <c r="D2" s="9"/>
    </row>
    <row r="3" spans="2:8" ht="12.75">
      <c r="B3" s="166">
        <f>100*59/1385</f>
        <v>4.259927797833935</v>
      </c>
      <c r="C3" s="166">
        <f>100*92/1385</f>
        <v>6.64259927797834</v>
      </c>
      <c r="D3" s="166">
        <f>100*806/1385</f>
        <v>58.194945848375454</v>
      </c>
      <c r="E3" s="166">
        <f>100*70/1385</f>
        <v>5.054151624548736</v>
      </c>
      <c r="F3" s="166">
        <f>100*45/1385</f>
        <v>3.2490974729241877</v>
      </c>
      <c r="G3" s="166">
        <f>100*313/1385</f>
        <v>22.59927797833935</v>
      </c>
      <c r="H3" s="9">
        <f>SUM(B3:G3)</f>
        <v>100</v>
      </c>
    </row>
    <row r="4" spans="1:11" ht="12.75">
      <c r="A4" s="16"/>
      <c r="B4" s="46"/>
      <c r="C4" s="46"/>
      <c r="D4" s="46"/>
      <c r="E4" s="46"/>
      <c r="F4" s="46"/>
      <c r="G4" s="46"/>
      <c r="H4" s="46"/>
      <c r="I4" s="46" t="s">
        <v>16</v>
      </c>
      <c r="J4" s="46"/>
      <c r="K4" s="149" t="s">
        <v>120</v>
      </c>
    </row>
    <row r="5" spans="1:12" ht="12.75">
      <c r="A5" s="16"/>
      <c r="B5" s="46" t="s">
        <v>17</v>
      </c>
      <c r="C5" s="46" t="s">
        <v>152</v>
      </c>
      <c r="D5" s="46" t="s">
        <v>18</v>
      </c>
      <c r="E5" s="46" t="s">
        <v>19</v>
      </c>
      <c r="F5" s="46" t="s">
        <v>20</v>
      </c>
      <c r="G5" s="46" t="s">
        <v>21</v>
      </c>
      <c r="H5" s="46" t="s">
        <v>22</v>
      </c>
      <c r="I5" s="46" t="s">
        <v>23</v>
      </c>
      <c r="J5" s="46" t="s">
        <v>22</v>
      </c>
      <c r="L5" s="1"/>
    </row>
    <row r="6" spans="1:12" ht="12.75">
      <c r="A6" s="16"/>
      <c r="B6" s="46"/>
      <c r="C6" s="46"/>
      <c r="D6" s="46"/>
      <c r="E6" s="46"/>
      <c r="F6" s="46"/>
      <c r="G6" s="46"/>
      <c r="H6" s="46"/>
      <c r="I6" s="46"/>
      <c r="J6" s="46"/>
      <c r="L6" s="1"/>
    </row>
    <row r="7" spans="1:13" s="110" customFormat="1" ht="12.75">
      <c r="A7" s="149" t="s">
        <v>795</v>
      </c>
      <c r="B7" s="128">
        <v>90</v>
      </c>
      <c r="C7" s="128">
        <v>0</v>
      </c>
      <c r="D7" s="128">
        <v>0</v>
      </c>
      <c r="E7" s="128">
        <v>0</v>
      </c>
      <c r="F7" s="128">
        <v>0</v>
      </c>
      <c r="G7" s="128">
        <v>180</v>
      </c>
      <c r="H7" s="128">
        <f>SUM(B7:G7)+L7</f>
        <v>270</v>
      </c>
      <c r="I7" s="128"/>
      <c r="J7" s="128">
        <f>SUM(H7:I7)</f>
        <v>270</v>
      </c>
      <c r="K7" s="188">
        <v>3</v>
      </c>
      <c r="L7" s="128"/>
      <c r="M7" s="129"/>
    </row>
    <row r="8" spans="1:13" s="110" customFormat="1" ht="12.75">
      <c r="A8" s="149" t="s">
        <v>794</v>
      </c>
      <c r="B8" s="128">
        <v>350</v>
      </c>
      <c r="C8" s="128">
        <v>0</v>
      </c>
      <c r="D8" s="128">
        <v>0</v>
      </c>
      <c r="E8" s="128">
        <v>0</v>
      </c>
      <c r="F8" s="128">
        <v>250</v>
      </c>
      <c r="G8" s="128">
        <v>250</v>
      </c>
      <c r="H8" s="128">
        <f>SUM(B8:G8)+L8</f>
        <v>850</v>
      </c>
      <c r="I8" s="128"/>
      <c r="J8" s="128">
        <f>SUM(H8:I8)</f>
        <v>850</v>
      </c>
      <c r="K8" s="188">
        <v>10</v>
      </c>
      <c r="L8" s="128"/>
      <c r="M8" s="129"/>
    </row>
    <row r="9" spans="1:13" s="110" customFormat="1" ht="12.75">
      <c r="A9" s="110" t="s">
        <v>327</v>
      </c>
      <c r="B9" s="128">
        <v>0</v>
      </c>
      <c r="C9" s="128">
        <v>0</v>
      </c>
      <c r="D9" s="128">
        <v>2290</v>
      </c>
      <c r="E9" s="128">
        <v>0</v>
      </c>
      <c r="F9" s="128">
        <v>0</v>
      </c>
      <c r="G9" s="128">
        <v>1280</v>
      </c>
      <c r="H9" s="128">
        <f aca="true" t="shared" si="0" ref="H9:H19">SUM(B9:G9)+L9</f>
        <v>3570</v>
      </c>
      <c r="I9" s="128"/>
      <c r="J9" s="128">
        <f aca="true" t="shared" si="1" ref="J9:J19">SUM(H9:I9)</f>
        <v>3570</v>
      </c>
      <c r="K9" s="188">
        <v>28</v>
      </c>
      <c r="L9" s="128"/>
      <c r="M9" s="129"/>
    </row>
    <row r="10" spans="1:13" s="110" customFormat="1" ht="12.75">
      <c r="A10" s="149" t="s">
        <v>390</v>
      </c>
      <c r="B10" s="128">
        <v>60</v>
      </c>
      <c r="C10" s="128">
        <v>0</v>
      </c>
      <c r="D10" s="128">
        <v>240</v>
      </c>
      <c r="E10" s="128">
        <v>60</v>
      </c>
      <c r="F10" s="128">
        <v>0</v>
      </c>
      <c r="G10" s="128">
        <v>120</v>
      </c>
      <c r="H10" s="128">
        <f>SUM(B10:G10)+L10</f>
        <v>480</v>
      </c>
      <c r="I10" s="128"/>
      <c r="J10" s="128">
        <f>SUM(H10:I10)</f>
        <v>480</v>
      </c>
      <c r="K10" s="188">
        <v>8</v>
      </c>
      <c r="L10" s="128"/>
      <c r="M10" s="129"/>
    </row>
    <row r="11" spans="1:13" s="110" customFormat="1" ht="12.75">
      <c r="A11" s="149" t="s">
        <v>399</v>
      </c>
      <c r="B11" s="128">
        <v>0</v>
      </c>
      <c r="C11" s="128">
        <v>0</v>
      </c>
      <c r="D11" s="128">
        <v>180</v>
      </c>
      <c r="E11" s="128">
        <v>60</v>
      </c>
      <c r="F11" s="128">
        <v>0</v>
      </c>
      <c r="G11" s="128">
        <v>60</v>
      </c>
      <c r="H11" s="128">
        <f>SUM(B11:G11)+L11</f>
        <v>300</v>
      </c>
      <c r="I11" s="128"/>
      <c r="J11" s="128">
        <f>SUM(H11:I11)</f>
        <v>300</v>
      </c>
      <c r="K11" s="188">
        <v>5</v>
      </c>
      <c r="L11" s="128"/>
      <c r="M11" s="129"/>
    </row>
    <row r="12" spans="1:13" s="110" customFormat="1" ht="12.75">
      <c r="A12" s="110" t="s">
        <v>361</v>
      </c>
      <c r="B12" s="128">
        <v>0</v>
      </c>
      <c r="C12" s="128">
        <v>0</v>
      </c>
      <c r="D12" s="128">
        <v>710</v>
      </c>
      <c r="E12" s="128">
        <v>0</v>
      </c>
      <c r="F12" s="128">
        <v>0</v>
      </c>
      <c r="G12" s="128">
        <v>1610</v>
      </c>
      <c r="H12" s="128">
        <f t="shared" si="0"/>
        <v>2320</v>
      </c>
      <c r="I12" s="128"/>
      <c r="J12" s="128">
        <f t="shared" si="1"/>
        <v>2320</v>
      </c>
      <c r="K12" s="188">
        <f>13*2</f>
        <v>26</v>
      </c>
      <c r="L12" s="128"/>
      <c r="M12" s="129"/>
    </row>
    <row r="13" spans="1:13" s="110" customFormat="1" ht="12.75">
      <c r="A13" s="110" t="s">
        <v>362</v>
      </c>
      <c r="B13" s="128">
        <v>0</v>
      </c>
      <c r="C13" s="128">
        <v>0</v>
      </c>
      <c r="D13" s="128">
        <v>710</v>
      </c>
      <c r="E13" s="128">
        <v>0</v>
      </c>
      <c r="F13" s="128">
        <v>0</v>
      </c>
      <c r="G13" s="128">
        <v>1420</v>
      </c>
      <c r="H13" s="128">
        <f t="shared" si="0"/>
        <v>2130</v>
      </c>
      <c r="I13" s="128"/>
      <c r="J13" s="128">
        <f t="shared" si="1"/>
        <v>2130</v>
      </c>
      <c r="K13" s="188">
        <v>12</v>
      </c>
      <c r="L13" s="128"/>
      <c r="M13" s="129"/>
    </row>
    <row r="14" spans="1:13" s="110" customFormat="1" ht="12.75">
      <c r="A14" s="149" t="s">
        <v>389</v>
      </c>
      <c r="B14" s="128">
        <v>60</v>
      </c>
      <c r="C14" s="128">
        <v>0</v>
      </c>
      <c r="D14" s="128">
        <v>120</v>
      </c>
      <c r="E14" s="128">
        <v>60</v>
      </c>
      <c r="F14" s="128">
        <v>0</v>
      </c>
      <c r="G14" s="128">
        <v>60</v>
      </c>
      <c r="H14" s="128">
        <f>SUM(B14:G14)+L14</f>
        <v>300</v>
      </c>
      <c r="I14" s="128"/>
      <c r="J14" s="128">
        <f>SUM(H14:I14)</f>
        <v>300</v>
      </c>
      <c r="K14" s="188">
        <v>5</v>
      </c>
      <c r="L14" s="128"/>
      <c r="M14" s="129"/>
    </row>
    <row r="15" spans="1:13" s="110" customFormat="1" ht="12.75">
      <c r="A15" s="110" t="s">
        <v>359</v>
      </c>
      <c r="B15" s="128">
        <v>0</v>
      </c>
      <c r="C15" s="128">
        <v>0</v>
      </c>
      <c r="D15" s="128">
        <v>1335</v>
      </c>
      <c r="E15" s="128">
        <v>0</v>
      </c>
      <c r="F15" s="128">
        <v>0</v>
      </c>
      <c r="G15" s="128">
        <v>1695</v>
      </c>
      <c r="H15" s="128">
        <f t="shared" si="0"/>
        <v>3030</v>
      </c>
      <c r="I15" s="128"/>
      <c r="J15" s="128">
        <f t="shared" si="1"/>
        <v>3030</v>
      </c>
      <c r="K15" s="188">
        <v>14</v>
      </c>
      <c r="L15" s="128"/>
      <c r="M15" s="129"/>
    </row>
    <row r="16" spans="1:13" s="110" customFormat="1" ht="12.75">
      <c r="A16" s="110" t="s">
        <v>310</v>
      </c>
      <c r="B16" s="128">
        <v>0</v>
      </c>
      <c r="C16" s="128">
        <v>0</v>
      </c>
      <c r="D16" s="128">
        <v>470</v>
      </c>
      <c r="E16" s="128">
        <v>0</v>
      </c>
      <c r="F16" s="128">
        <v>0</v>
      </c>
      <c r="G16" s="128">
        <v>710</v>
      </c>
      <c r="H16" s="128">
        <f t="shared" si="0"/>
        <v>1180</v>
      </c>
      <c r="I16" s="128"/>
      <c r="J16" s="128">
        <f t="shared" si="1"/>
        <v>1180</v>
      </c>
      <c r="K16" s="188">
        <v>7</v>
      </c>
      <c r="L16" s="128"/>
      <c r="M16" s="129"/>
    </row>
    <row r="17" spans="1:13" s="209" customFormat="1" ht="12.75">
      <c r="A17" s="209" t="s">
        <v>309</v>
      </c>
      <c r="B17" s="210">
        <v>0</v>
      </c>
      <c r="C17" s="210">
        <v>0</v>
      </c>
      <c r="D17" s="210">
        <v>0</v>
      </c>
      <c r="E17" s="210">
        <v>0</v>
      </c>
      <c r="F17" s="210">
        <v>0</v>
      </c>
      <c r="G17" s="210">
        <v>0</v>
      </c>
      <c r="H17" s="210">
        <f t="shared" si="0"/>
        <v>0</v>
      </c>
      <c r="I17" s="210">
        <v>680</v>
      </c>
      <c r="J17" s="210">
        <f t="shared" si="1"/>
        <v>680</v>
      </c>
      <c r="K17" s="211" t="s">
        <v>350</v>
      </c>
      <c r="L17" s="210"/>
      <c r="M17" s="212"/>
    </row>
    <row r="18" spans="1:13" s="110" customFormat="1" ht="12.75">
      <c r="A18" s="110" t="s">
        <v>321</v>
      </c>
      <c r="B18" s="128">
        <v>0</v>
      </c>
      <c r="C18" s="128">
        <v>0</v>
      </c>
      <c r="D18" s="128">
        <v>2660</v>
      </c>
      <c r="E18" s="128">
        <v>0</v>
      </c>
      <c r="F18" s="128">
        <v>0</v>
      </c>
      <c r="G18" s="128">
        <v>2480</v>
      </c>
      <c r="H18" s="128">
        <f t="shared" si="0"/>
        <v>5140</v>
      </c>
      <c r="I18" s="128"/>
      <c r="J18" s="128">
        <f t="shared" si="1"/>
        <v>5140</v>
      </c>
      <c r="K18" s="188">
        <v>23</v>
      </c>
      <c r="L18" s="128"/>
      <c r="M18" s="129"/>
    </row>
    <row r="19" spans="1:13" s="209" customFormat="1" ht="12.75">
      <c r="A19" s="209" t="s">
        <v>323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f t="shared" si="0"/>
        <v>0</v>
      </c>
      <c r="I19" s="210">
        <f>990*3</f>
        <v>2970</v>
      </c>
      <c r="J19" s="210">
        <f t="shared" si="1"/>
        <v>2970</v>
      </c>
      <c r="K19" s="211" t="s">
        <v>350</v>
      </c>
      <c r="L19" s="210"/>
      <c r="M19" s="212"/>
    </row>
    <row r="20" spans="1:13" s="110" customFormat="1" ht="12.75">
      <c r="A20" s="149" t="s">
        <v>400</v>
      </c>
      <c r="B20" s="128">
        <v>0</v>
      </c>
      <c r="C20" s="128">
        <v>0</v>
      </c>
      <c r="D20" s="128">
        <v>120</v>
      </c>
      <c r="E20" s="128">
        <v>0</v>
      </c>
      <c r="F20" s="128">
        <v>0</v>
      </c>
      <c r="G20" s="128">
        <v>60</v>
      </c>
      <c r="H20" s="128">
        <f aca="true" t="shared" si="2" ref="H20:H32">SUM(B20:G20)+L20</f>
        <v>180</v>
      </c>
      <c r="I20" s="128"/>
      <c r="J20" s="128">
        <f aca="true" t="shared" si="3" ref="J20:J32">SUM(H20:I20)</f>
        <v>180</v>
      </c>
      <c r="K20" s="188">
        <v>3</v>
      </c>
      <c r="L20" s="128"/>
      <c r="M20" s="129"/>
    </row>
    <row r="21" spans="1:13" s="110" customFormat="1" ht="12.75">
      <c r="A21" s="110" t="s">
        <v>339</v>
      </c>
      <c r="B21" s="128">
        <v>0</v>
      </c>
      <c r="C21" s="128">
        <v>0</v>
      </c>
      <c r="D21" s="128">
        <f>1100-350</f>
        <v>750</v>
      </c>
      <c r="E21" s="128">
        <v>0</v>
      </c>
      <c r="F21" s="128">
        <v>0</v>
      </c>
      <c r="G21" s="128">
        <f>2100-1050</f>
        <v>1050</v>
      </c>
      <c r="H21" s="128">
        <f t="shared" si="2"/>
        <v>1800</v>
      </c>
      <c r="I21" s="128"/>
      <c r="J21" s="128">
        <f t="shared" si="3"/>
        <v>1800</v>
      </c>
      <c r="K21" s="188">
        <v>15</v>
      </c>
      <c r="L21" s="128"/>
      <c r="M21" s="129"/>
    </row>
    <row r="22" spans="1:13" s="110" customFormat="1" ht="12.75">
      <c r="A22" s="149" t="s">
        <v>381</v>
      </c>
      <c r="B22" s="128">
        <v>0</v>
      </c>
      <c r="C22" s="128">
        <v>0</v>
      </c>
      <c r="D22" s="128">
        <v>50</v>
      </c>
      <c r="E22" s="128">
        <v>0</v>
      </c>
      <c r="F22" s="128">
        <v>0</v>
      </c>
      <c r="G22" s="128">
        <v>0</v>
      </c>
      <c r="H22" s="128">
        <f t="shared" si="2"/>
        <v>50</v>
      </c>
      <c r="I22" s="128"/>
      <c r="J22" s="128">
        <f t="shared" si="3"/>
        <v>50</v>
      </c>
      <c r="K22" s="188">
        <v>1</v>
      </c>
      <c r="L22" s="128"/>
      <c r="M22" s="129"/>
    </row>
    <row r="23" spans="1:13" s="110" customFormat="1" ht="12.75">
      <c r="A23" s="149" t="s">
        <v>391</v>
      </c>
      <c r="B23" s="128">
        <v>0</v>
      </c>
      <c r="C23" s="128">
        <v>0</v>
      </c>
      <c r="D23" s="128">
        <v>120</v>
      </c>
      <c r="E23" s="128">
        <v>0</v>
      </c>
      <c r="F23" s="128">
        <v>0</v>
      </c>
      <c r="G23" s="128">
        <v>60</v>
      </c>
      <c r="H23" s="128">
        <f t="shared" si="2"/>
        <v>180</v>
      </c>
      <c r="I23" s="128"/>
      <c r="J23" s="128">
        <f t="shared" si="3"/>
        <v>180</v>
      </c>
      <c r="K23" s="188">
        <v>3</v>
      </c>
      <c r="L23" s="128"/>
      <c r="M23" s="129"/>
    </row>
    <row r="24" spans="1:13" s="110" customFormat="1" ht="12.75">
      <c r="A24" s="149" t="s">
        <v>403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f t="shared" si="2"/>
        <v>0</v>
      </c>
      <c r="I24" s="128"/>
      <c r="J24" s="128">
        <f t="shared" si="3"/>
        <v>0</v>
      </c>
      <c r="K24" s="188">
        <v>2</v>
      </c>
      <c r="L24" s="128"/>
      <c r="M24" s="129"/>
    </row>
    <row r="25" spans="1:13" s="110" customFormat="1" ht="12.75">
      <c r="A25" s="149" t="s">
        <v>348</v>
      </c>
      <c r="B25" s="128">
        <v>0</v>
      </c>
      <c r="C25" s="128">
        <v>0</v>
      </c>
      <c r="D25" s="128">
        <v>892.56</v>
      </c>
      <c r="E25" s="128">
        <v>0</v>
      </c>
      <c r="F25" s="128">
        <v>0</v>
      </c>
      <c r="G25" s="128">
        <v>620.45</v>
      </c>
      <c r="H25" s="128">
        <f t="shared" si="2"/>
        <v>1513.01</v>
      </c>
      <c r="I25" s="128"/>
      <c r="J25" s="128">
        <f t="shared" si="3"/>
        <v>1513.01</v>
      </c>
      <c r="K25" s="188" t="s">
        <v>350</v>
      </c>
      <c r="L25" s="128"/>
      <c r="M25" s="129"/>
    </row>
    <row r="26" spans="1:13" s="209" customFormat="1" ht="12.75">
      <c r="A26" s="215" t="s">
        <v>349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f t="shared" si="2"/>
        <v>0</v>
      </c>
      <c r="I26" s="250">
        <v>1621.87</v>
      </c>
      <c r="J26" s="210">
        <f t="shared" si="3"/>
        <v>1621.87</v>
      </c>
      <c r="K26" s="211" t="s">
        <v>350</v>
      </c>
      <c r="L26" s="210"/>
      <c r="M26" s="212"/>
    </row>
    <row r="27" spans="1:13" s="209" customFormat="1" ht="12.75">
      <c r="A27" s="215" t="s">
        <v>388</v>
      </c>
      <c r="B27" s="210">
        <v>0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f t="shared" si="2"/>
        <v>0</v>
      </c>
      <c r="I27" s="250">
        <v>5691.5</v>
      </c>
      <c r="J27" s="210">
        <f t="shared" si="3"/>
        <v>5691.5</v>
      </c>
      <c r="K27" s="211" t="s">
        <v>350</v>
      </c>
      <c r="L27" s="210"/>
      <c r="M27" s="212"/>
    </row>
    <row r="28" spans="1:13" s="209" customFormat="1" ht="12.75">
      <c r="A28" s="215" t="s">
        <v>425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f t="shared" si="2"/>
        <v>0</v>
      </c>
      <c r="I28" s="210">
        <v>755</v>
      </c>
      <c r="J28" s="210">
        <f t="shared" si="3"/>
        <v>755</v>
      </c>
      <c r="K28" s="211"/>
      <c r="L28" s="210"/>
      <c r="M28" s="212"/>
    </row>
    <row r="29" spans="1:13" s="209" customFormat="1" ht="12.75">
      <c r="A29" s="215" t="s">
        <v>443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f t="shared" si="2"/>
        <v>0</v>
      </c>
      <c r="I29" s="250">
        <v>560.15</v>
      </c>
      <c r="J29" s="210">
        <f t="shared" si="3"/>
        <v>560.15</v>
      </c>
      <c r="K29" s="211" t="s">
        <v>350</v>
      </c>
      <c r="L29" s="210"/>
      <c r="M29" s="212"/>
    </row>
    <row r="30" spans="1:13" s="209" customFormat="1" ht="12.75">
      <c r="A30" s="215" t="s">
        <v>444</v>
      </c>
      <c r="B30" s="210">
        <v>0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f t="shared" si="2"/>
        <v>0</v>
      </c>
      <c r="I30" s="210">
        <v>1090</v>
      </c>
      <c r="J30" s="210">
        <f t="shared" si="3"/>
        <v>1090</v>
      </c>
      <c r="K30" s="211"/>
      <c r="L30" s="210"/>
      <c r="M30" s="212"/>
    </row>
    <row r="31" spans="1:13" s="209" customFormat="1" ht="12.75">
      <c r="A31" s="215" t="s">
        <v>447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f t="shared" si="2"/>
        <v>0</v>
      </c>
      <c r="I31" s="210">
        <v>1440.15</v>
      </c>
      <c r="J31" s="210">
        <f t="shared" si="3"/>
        <v>1440.15</v>
      </c>
      <c r="K31" s="211"/>
      <c r="L31" s="210"/>
      <c r="M31" s="212"/>
    </row>
    <row r="32" spans="1:13" s="110" customFormat="1" ht="12.75">
      <c r="A32" s="149" t="s">
        <v>355</v>
      </c>
      <c r="B32" s="128">
        <v>0</v>
      </c>
      <c r="C32" s="128">
        <v>0</v>
      </c>
      <c r="D32" s="128">
        <v>3156.65</v>
      </c>
      <c r="E32" s="128">
        <v>0</v>
      </c>
      <c r="F32" s="128">
        <v>0</v>
      </c>
      <c r="G32" s="128">
        <v>2525.32</v>
      </c>
      <c r="H32" s="128">
        <f t="shared" si="2"/>
        <v>5681.97</v>
      </c>
      <c r="I32" s="128"/>
      <c r="J32" s="128">
        <f t="shared" si="3"/>
        <v>5681.97</v>
      </c>
      <c r="K32" s="188" t="s">
        <v>350</v>
      </c>
      <c r="L32" s="128"/>
      <c r="M32" s="129"/>
    </row>
    <row r="33" spans="1:13" s="110" customFormat="1" ht="12.75">
      <c r="A33" s="149" t="s">
        <v>461</v>
      </c>
      <c r="B33" s="128">
        <v>0</v>
      </c>
      <c r="C33" s="128">
        <v>0</v>
      </c>
      <c r="D33" s="128">
        <v>645</v>
      </c>
      <c r="E33" s="128">
        <v>110</v>
      </c>
      <c r="F33" s="128">
        <v>0</v>
      </c>
      <c r="G33" s="128">
        <v>530</v>
      </c>
      <c r="H33" s="128">
        <f aca="true" t="shared" si="4" ref="H33:H42">SUM(B33:G33)+L33</f>
        <v>1285</v>
      </c>
      <c r="I33" s="128"/>
      <c r="J33" s="128">
        <f aca="true" t="shared" si="5" ref="J33:J42">SUM(H33:I33)</f>
        <v>1285</v>
      </c>
      <c r="K33" s="188">
        <v>11</v>
      </c>
      <c r="L33" s="128"/>
      <c r="M33" s="129"/>
    </row>
    <row r="34" spans="1:13" s="110" customFormat="1" ht="12.75">
      <c r="A34" s="149" t="s">
        <v>464</v>
      </c>
      <c r="B34" s="128">
        <v>0</v>
      </c>
      <c r="C34" s="128">
        <v>0</v>
      </c>
      <c r="D34" s="128">
        <v>340</v>
      </c>
      <c r="E34" s="128">
        <v>0</v>
      </c>
      <c r="F34" s="128">
        <v>0</v>
      </c>
      <c r="G34" s="128">
        <v>510</v>
      </c>
      <c r="H34" s="128">
        <f t="shared" si="4"/>
        <v>850</v>
      </c>
      <c r="I34" s="128"/>
      <c r="J34" s="128">
        <f t="shared" si="5"/>
        <v>850</v>
      </c>
      <c r="K34" s="188">
        <v>5</v>
      </c>
      <c r="L34" s="128"/>
      <c r="M34" s="129"/>
    </row>
    <row r="35" spans="1:13" s="110" customFormat="1" ht="12.75">
      <c r="A35" s="149" t="s">
        <v>470</v>
      </c>
      <c r="B35" s="128">
        <v>0</v>
      </c>
      <c r="C35" s="128">
        <v>0</v>
      </c>
      <c r="D35" s="128">
        <v>710</v>
      </c>
      <c r="E35" s="128">
        <v>0</v>
      </c>
      <c r="F35" s="128">
        <v>0</v>
      </c>
      <c r="G35" s="128">
        <v>550</v>
      </c>
      <c r="H35" s="128">
        <f t="shared" si="4"/>
        <v>1260</v>
      </c>
      <c r="I35" s="128"/>
      <c r="J35" s="128">
        <f t="shared" si="5"/>
        <v>1260</v>
      </c>
      <c r="K35" s="188">
        <v>8</v>
      </c>
      <c r="L35" s="128"/>
      <c r="M35" s="129"/>
    </row>
    <row r="36" spans="1:13" s="110" customFormat="1" ht="12.75">
      <c r="A36" s="149" t="s">
        <v>500</v>
      </c>
      <c r="B36" s="128">
        <v>0</v>
      </c>
      <c r="C36" s="128">
        <v>0</v>
      </c>
      <c r="D36" s="128">
        <v>0</v>
      </c>
      <c r="E36" s="128">
        <v>1870</v>
      </c>
      <c r="F36" s="128">
        <v>0</v>
      </c>
      <c r="G36" s="128">
        <f>1115+200</f>
        <v>1315</v>
      </c>
      <c r="H36" s="128">
        <f t="shared" si="4"/>
        <v>3185</v>
      </c>
      <c r="I36" s="128"/>
      <c r="J36" s="128">
        <f t="shared" si="5"/>
        <v>3185</v>
      </c>
      <c r="K36" s="188">
        <v>22</v>
      </c>
      <c r="L36" s="128">
        <f>200-200</f>
        <v>0</v>
      </c>
      <c r="M36" s="129"/>
    </row>
    <row r="37" spans="1:13" s="209" customFormat="1" ht="12.75">
      <c r="A37" s="215" t="s">
        <v>501</v>
      </c>
      <c r="B37" s="210">
        <v>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f t="shared" si="4"/>
        <v>0</v>
      </c>
      <c r="I37" s="210">
        <v>810</v>
      </c>
      <c r="J37" s="210">
        <f t="shared" si="5"/>
        <v>810</v>
      </c>
      <c r="K37" s="211" t="s">
        <v>350</v>
      </c>
      <c r="L37" s="210"/>
      <c r="M37" s="212"/>
    </row>
    <row r="38" spans="1:13" s="110" customFormat="1" ht="12.75">
      <c r="A38" s="149" t="s">
        <v>493</v>
      </c>
      <c r="B38" s="128">
        <v>0</v>
      </c>
      <c r="C38" s="128">
        <v>650</v>
      </c>
      <c r="D38" s="128">
        <f>4405+270</f>
        <v>4675</v>
      </c>
      <c r="E38" s="128">
        <v>200</v>
      </c>
      <c r="F38" s="128">
        <v>0</v>
      </c>
      <c r="G38" s="128">
        <f>2340+200</f>
        <v>2540</v>
      </c>
      <c r="H38" s="128">
        <f t="shared" si="4"/>
        <v>8065</v>
      </c>
      <c r="I38" s="128"/>
      <c r="J38" s="128">
        <f t="shared" si="5"/>
        <v>8065</v>
      </c>
      <c r="K38" s="188">
        <v>51</v>
      </c>
      <c r="L38" s="128">
        <f>470-200-270</f>
        <v>0</v>
      </c>
      <c r="M38" s="129"/>
    </row>
    <row r="39" spans="1:13" s="209" customFormat="1" ht="12.75">
      <c r="A39" s="215" t="s">
        <v>506</v>
      </c>
      <c r="B39" s="210">
        <v>0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f t="shared" si="4"/>
        <v>0</v>
      </c>
      <c r="I39" s="210">
        <v>380</v>
      </c>
      <c r="J39" s="210">
        <f t="shared" si="5"/>
        <v>380</v>
      </c>
      <c r="K39" s="211" t="s">
        <v>350</v>
      </c>
      <c r="L39" s="210"/>
      <c r="M39" s="212"/>
    </row>
    <row r="40" spans="1:13" s="110" customFormat="1" ht="12.75">
      <c r="A40" s="149" t="s">
        <v>505</v>
      </c>
      <c r="B40" s="128">
        <v>170</v>
      </c>
      <c r="C40" s="128">
        <v>580</v>
      </c>
      <c r="D40" s="128">
        <v>3965</v>
      </c>
      <c r="E40" s="128">
        <v>0</v>
      </c>
      <c r="F40" s="128">
        <v>0</v>
      </c>
      <c r="G40" s="128">
        <f>1050+255+80</f>
        <v>1385</v>
      </c>
      <c r="H40" s="128">
        <f t="shared" si="4"/>
        <v>6100</v>
      </c>
      <c r="I40" s="128"/>
      <c r="J40" s="128">
        <f t="shared" si="5"/>
        <v>6100</v>
      </c>
      <c r="K40" s="188">
        <v>44</v>
      </c>
      <c r="L40" s="128">
        <f>335-255-80</f>
        <v>0</v>
      </c>
      <c r="M40" s="129"/>
    </row>
    <row r="41" spans="1:13" s="110" customFormat="1" ht="12.75">
      <c r="A41" s="149" t="s">
        <v>476</v>
      </c>
      <c r="B41" s="128">
        <v>340</v>
      </c>
      <c r="C41" s="128">
        <v>240</v>
      </c>
      <c r="D41" s="128">
        <v>2680</v>
      </c>
      <c r="E41" s="128">
        <v>0</v>
      </c>
      <c r="F41" s="128">
        <v>0</v>
      </c>
      <c r="G41" s="128">
        <v>1135</v>
      </c>
      <c r="H41" s="128">
        <f t="shared" si="4"/>
        <v>4395</v>
      </c>
      <c r="I41" s="128"/>
      <c r="J41" s="128">
        <f t="shared" si="5"/>
        <v>4395</v>
      </c>
      <c r="K41" s="188">
        <v>31</v>
      </c>
      <c r="L41" s="128"/>
      <c r="M41" s="129"/>
    </row>
    <row r="42" spans="1:13" s="209" customFormat="1" ht="12.75">
      <c r="A42" s="209" t="s">
        <v>336</v>
      </c>
      <c r="B42" s="210">
        <v>0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f t="shared" si="4"/>
        <v>0</v>
      </c>
      <c r="I42" s="210">
        <v>31318.76</v>
      </c>
      <c r="J42" s="210">
        <f t="shared" si="5"/>
        <v>31318.76</v>
      </c>
      <c r="K42" s="211" t="s">
        <v>350</v>
      </c>
      <c r="L42" s="210"/>
      <c r="M42" s="212"/>
    </row>
    <row r="43" spans="1:13" s="209" customFormat="1" ht="12.75">
      <c r="A43" s="215" t="s">
        <v>469</v>
      </c>
      <c r="B43" s="210">
        <v>0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f aca="true" t="shared" si="6" ref="H43:H48">SUM(B43:G43)+L43</f>
        <v>0</v>
      </c>
      <c r="I43" s="210">
        <v>17327</v>
      </c>
      <c r="J43" s="210">
        <f aca="true" t="shared" si="7" ref="J43:J48">SUM(H43:I43)</f>
        <v>17327</v>
      </c>
      <c r="K43" s="211" t="s">
        <v>350</v>
      </c>
      <c r="L43" s="210"/>
      <c r="M43" s="212"/>
    </row>
    <row r="44" spans="1:13" s="209" customFormat="1" ht="12.75">
      <c r="A44" s="209" t="s">
        <v>758</v>
      </c>
      <c r="B44" s="210">
        <v>0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f t="shared" si="6"/>
        <v>0</v>
      </c>
      <c r="I44" s="210">
        <v>2630</v>
      </c>
      <c r="J44" s="210">
        <f t="shared" si="7"/>
        <v>2630</v>
      </c>
      <c r="K44" s="211" t="s">
        <v>350</v>
      </c>
      <c r="L44" s="210"/>
      <c r="M44" s="212"/>
    </row>
    <row r="45" spans="1:13" s="110" customFormat="1" ht="12.75">
      <c r="A45" s="149" t="s">
        <v>834</v>
      </c>
      <c r="B45" s="128">
        <v>0</v>
      </c>
      <c r="C45" s="128">
        <v>815</v>
      </c>
      <c r="D45" s="128">
        <f>5510+180</f>
        <v>5690</v>
      </c>
      <c r="E45" s="128">
        <v>485</v>
      </c>
      <c r="F45" s="128">
        <v>0</v>
      </c>
      <c r="G45" s="128">
        <v>1830</v>
      </c>
      <c r="H45" s="128">
        <f t="shared" si="6"/>
        <v>8820</v>
      </c>
      <c r="I45" s="128"/>
      <c r="J45" s="128">
        <f t="shared" si="7"/>
        <v>8820</v>
      </c>
      <c r="K45" s="188">
        <v>181</v>
      </c>
      <c r="L45" s="128">
        <f>180-180</f>
        <v>0</v>
      </c>
      <c r="M45" s="129"/>
    </row>
    <row r="46" spans="1:13" s="110" customFormat="1" ht="12.75">
      <c r="A46" s="149" t="s">
        <v>473</v>
      </c>
      <c r="B46" s="128">
        <v>0</v>
      </c>
      <c r="C46" s="128">
        <v>0</v>
      </c>
      <c r="D46" s="128">
        <v>110</v>
      </c>
      <c r="E46" s="128">
        <v>0</v>
      </c>
      <c r="F46" s="128">
        <v>0</v>
      </c>
      <c r="G46" s="128">
        <v>0</v>
      </c>
      <c r="H46" s="128">
        <f t="shared" si="6"/>
        <v>110</v>
      </c>
      <c r="I46" s="128"/>
      <c r="J46" s="128">
        <f t="shared" si="7"/>
        <v>110</v>
      </c>
      <c r="K46" s="188">
        <v>1</v>
      </c>
      <c r="L46" s="128"/>
      <c r="M46" s="129"/>
    </row>
    <row r="47" spans="1:13" s="110" customFormat="1" ht="12.75">
      <c r="A47" s="149" t="s">
        <v>479</v>
      </c>
      <c r="B47" s="128">
        <v>360</v>
      </c>
      <c r="C47" s="128">
        <v>0</v>
      </c>
      <c r="D47" s="128">
        <v>120</v>
      </c>
      <c r="E47" s="128">
        <v>0</v>
      </c>
      <c r="F47" s="128">
        <v>420</v>
      </c>
      <c r="G47" s="128">
        <v>420</v>
      </c>
      <c r="H47" s="128">
        <f t="shared" si="6"/>
        <v>1320</v>
      </c>
      <c r="I47" s="128"/>
      <c r="J47" s="128">
        <f t="shared" si="7"/>
        <v>1320</v>
      </c>
      <c r="K47" s="188">
        <v>13</v>
      </c>
      <c r="L47" s="128"/>
      <c r="M47" s="129"/>
    </row>
    <row r="48" spans="1:13" s="110" customFormat="1" ht="12.75">
      <c r="A48" s="149" t="s">
        <v>514</v>
      </c>
      <c r="B48" s="128">
        <v>0</v>
      </c>
      <c r="C48" s="128">
        <v>130</v>
      </c>
      <c r="D48" s="128">
        <v>530</v>
      </c>
      <c r="E48" s="128">
        <v>0</v>
      </c>
      <c r="F48" s="128">
        <v>0</v>
      </c>
      <c r="G48" s="128">
        <v>660</v>
      </c>
      <c r="H48" s="128">
        <f t="shared" si="6"/>
        <v>1320</v>
      </c>
      <c r="I48" s="128"/>
      <c r="J48" s="128">
        <f t="shared" si="7"/>
        <v>1320</v>
      </c>
      <c r="K48" s="188">
        <v>12</v>
      </c>
      <c r="L48" s="128"/>
      <c r="M48" s="129"/>
    </row>
    <row r="49" spans="1:13" s="110" customFormat="1" ht="12.75">
      <c r="A49" s="149" t="s">
        <v>519</v>
      </c>
      <c r="B49" s="128">
        <v>0</v>
      </c>
      <c r="C49" s="128">
        <v>0</v>
      </c>
      <c r="D49" s="128">
        <v>0</v>
      </c>
      <c r="E49" s="128">
        <v>0</v>
      </c>
      <c r="F49" s="128">
        <v>220</v>
      </c>
      <c r="G49" s="128">
        <v>390</v>
      </c>
      <c r="H49" s="128">
        <f aca="true" t="shared" si="8" ref="H49:H70">SUM(B49:G49)+L49</f>
        <v>610</v>
      </c>
      <c r="I49" s="128"/>
      <c r="J49" s="128">
        <f aca="true" t="shared" si="9" ref="J49:J70">SUM(H49:I49)</f>
        <v>610</v>
      </c>
      <c r="K49" s="188">
        <v>6</v>
      </c>
      <c r="L49" s="128"/>
      <c r="M49" s="129"/>
    </row>
    <row r="50" spans="1:13" s="110" customFormat="1" ht="12.75">
      <c r="A50" s="149" t="s">
        <v>515</v>
      </c>
      <c r="B50" s="128">
        <v>280</v>
      </c>
      <c r="C50" s="128">
        <v>0</v>
      </c>
      <c r="D50" s="128">
        <v>110</v>
      </c>
      <c r="E50" s="128">
        <v>0</v>
      </c>
      <c r="F50" s="128">
        <v>390</v>
      </c>
      <c r="G50" s="128">
        <v>390</v>
      </c>
      <c r="H50" s="128">
        <f t="shared" si="8"/>
        <v>1170</v>
      </c>
      <c r="I50" s="128"/>
      <c r="J50" s="128">
        <f t="shared" si="9"/>
        <v>1170</v>
      </c>
      <c r="K50" s="188">
        <v>12</v>
      </c>
      <c r="L50" s="128"/>
      <c r="M50" s="129"/>
    </row>
    <row r="51" spans="1:13" s="110" customFormat="1" ht="12.75">
      <c r="A51" s="149" t="s">
        <v>520</v>
      </c>
      <c r="B51" s="128">
        <v>0</v>
      </c>
      <c r="C51" s="128">
        <v>660</v>
      </c>
      <c r="D51" s="128">
        <f>1680+180</f>
        <v>1860</v>
      </c>
      <c r="E51" s="128">
        <v>0</v>
      </c>
      <c r="F51" s="128">
        <v>0</v>
      </c>
      <c r="G51" s="128">
        <f>240+120+60</f>
        <v>420</v>
      </c>
      <c r="H51" s="128">
        <f t="shared" si="8"/>
        <v>2940</v>
      </c>
      <c r="I51" s="128"/>
      <c r="J51" s="128">
        <f t="shared" si="9"/>
        <v>2940</v>
      </c>
      <c r="K51" s="188">
        <v>33</v>
      </c>
      <c r="L51" s="128">
        <f>360-120-60-180</f>
        <v>0</v>
      </c>
      <c r="M51" s="129"/>
    </row>
    <row r="52" spans="1:13" s="110" customFormat="1" ht="12.75">
      <c r="A52" s="149" t="s">
        <v>584</v>
      </c>
      <c r="B52" s="128">
        <v>0</v>
      </c>
      <c r="C52" s="128">
        <v>710</v>
      </c>
      <c r="D52" s="128">
        <f>2020+120</f>
        <v>2140</v>
      </c>
      <c r="E52" s="128">
        <v>0</v>
      </c>
      <c r="F52" s="128">
        <v>240</v>
      </c>
      <c r="G52" s="128">
        <v>690</v>
      </c>
      <c r="H52" s="128">
        <f t="shared" si="8"/>
        <v>3780</v>
      </c>
      <c r="I52" s="128"/>
      <c r="J52" s="128">
        <f t="shared" si="9"/>
        <v>3780</v>
      </c>
      <c r="K52" s="188">
        <v>40</v>
      </c>
      <c r="L52" s="128">
        <v>0</v>
      </c>
      <c r="M52" s="129"/>
    </row>
    <row r="53" spans="1:13" s="110" customFormat="1" ht="12.75">
      <c r="A53" s="149" t="s">
        <v>676</v>
      </c>
      <c r="B53" s="128">
        <v>0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f t="shared" si="8"/>
        <v>0</v>
      </c>
      <c r="I53" s="128"/>
      <c r="J53" s="128">
        <f t="shared" si="9"/>
        <v>0</v>
      </c>
      <c r="K53" s="188">
        <v>13</v>
      </c>
      <c r="L53" s="128"/>
      <c r="M53" s="129"/>
    </row>
    <row r="54" spans="1:13" s="110" customFormat="1" ht="12.75">
      <c r="A54" s="149" t="s">
        <v>680</v>
      </c>
      <c r="B54" s="128">
        <v>0</v>
      </c>
      <c r="C54" s="128">
        <v>0</v>
      </c>
      <c r="D54" s="128">
        <v>1750</v>
      </c>
      <c r="E54" s="128">
        <v>250</v>
      </c>
      <c r="F54" s="128">
        <v>0</v>
      </c>
      <c r="G54" s="128">
        <v>1000</v>
      </c>
      <c r="H54" s="128">
        <f>SUM(B54:G54)+L54</f>
        <v>3000</v>
      </c>
      <c r="I54" s="128"/>
      <c r="J54" s="128">
        <f>SUM(H54:I54)</f>
        <v>3000</v>
      </c>
      <c r="K54" s="188">
        <v>12</v>
      </c>
      <c r="L54" s="128"/>
      <c r="M54" s="129"/>
    </row>
    <row r="55" spans="1:13" s="110" customFormat="1" ht="12.75">
      <c r="A55" s="149" t="s">
        <v>682</v>
      </c>
      <c r="B55" s="128">
        <v>0</v>
      </c>
      <c r="C55" s="128">
        <v>0</v>
      </c>
      <c r="D55" s="128">
        <v>90</v>
      </c>
      <c r="E55" s="128">
        <v>0</v>
      </c>
      <c r="F55" s="128">
        <v>0</v>
      </c>
      <c r="G55" s="128">
        <v>0</v>
      </c>
      <c r="H55" s="128">
        <f t="shared" si="8"/>
        <v>90</v>
      </c>
      <c r="I55" s="128"/>
      <c r="J55" s="128">
        <f t="shared" si="9"/>
        <v>90</v>
      </c>
      <c r="K55" s="188">
        <v>1</v>
      </c>
      <c r="L55" s="128"/>
      <c r="M55" s="129"/>
    </row>
    <row r="56" spans="1:13" s="110" customFormat="1" ht="12.75">
      <c r="A56" s="149" t="s">
        <v>588</v>
      </c>
      <c r="B56" s="128">
        <v>0</v>
      </c>
      <c r="C56" s="128">
        <v>900</v>
      </c>
      <c r="D56" s="128">
        <f>1170+60</f>
        <v>1230</v>
      </c>
      <c r="E56" s="128">
        <v>0</v>
      </c>
      <c r="F56" s="128">
        <v>0</v>
      </c>
      <c r="G56" s="128">
        <v>180</v>
      </c>
      <c r="H56" s="128">
        <f t="shared" si="8"/>
        <v>2310</v>
      </c>
      <c r="I56" s="128"/>
      <c r="J56" s="128">
        <f t="shared" si="9"/>
        <v>2310</v>
      </c>
      <c r="K56" s="188">
        <v>28</v>
      </c>
      <c r="L56" s="128">
        <v>0</v>
      </c>
      <c r="M56" s="129"/>
    </row>
    <row r="57" spans="1:13" s="110" customFormat="1" ht="12.75">
      <c r="A57" s="149" t="s">
        <v>587</v>
      </c>
      <c r="B57" s="128">
        <v>100</v>
      </c>
      <c r="C57" s="128">
        <v>0</v>
      </c>
      <c r="D57" s="128">
        <v>0</v>
      </c>
      <c r="E57" s="128">
        <v>0</v>
      </c>
      <c r="F57" s="128">
        <v>0</v>
      </c>
      <c r="G57" s="128">
        <v>0</v>
      </c>
      <c r="H57" s="128">
        <f t="shared" si="8"/>
        <v>100</v>
      </c>
      <c r="I57" s="128"/>
      <c r="J57" s="128">
        <f t="shared" si="9"/>
        <v>100</v>
      </c>
      <c r="K57" s="188">
        <v>1</v>
      </c>
      <c r="L57" s="128"/>
      <c r="M57" s="129"/>
    </row>
    <row r="58" spans="1:13" s="110" customFormat="1" ht="12.75">
      <c r="A58" s="149" t="s">
        <v>681</v>
      </c>
      <c r="B58" s="128">
        <v>0</v>
      </c>
      <c r="C58" s="128">
        <v>0</v>
      </c>
      <c r="D58" s="128">
        <v>2125</v>
      </c>
      <c r="E58" s="128">
        <v>250</v>
      </c>
      <c r="F58" s="128">
        <v>0</v>
      </c>
      <c r="G58" s="128">
        <v>750</v>
      </c>
      <c r="H58" s="128">
        <f t="shared" si="8"/>
        <v>3125</v>
      </c>
      <c r="I58" s="128"/>
      <c r="J58" s="128">
        <f t="shared" si="9"/>
        <v>3125</v>
      </c>
      <c r="K58" s="188">
        <v>12</v>
      </c>
      <c r="L58" s="128"/>
      <c r="M58" s="129"/>
    </row>
    <row r="59" spans="1:13" s="110" customFormat="1" ht="12.75">
      <c r="A59" s="149" t="s">
        <v>601</v>
      </c>
      <c r="B59" s="128">
        <v>0</v>
      </c>
      <c r="C59" s="128">
        <v>0</v>
      </c>
      <c r="D59" s="128">
        <v>910</v>
      </c>
      <c r="E59" s="128">
        <v>0</v>
      </c>
      <c r="F59" s="128">
        <v>0</v>
      </c>
      <c r="G59" s="128">
        <v>0</v>
      </c>
      <c r="H59" s="128">
        <f t="shared" si="8"/>
        <v>910</v>
      </c>
      <c r="I59" s="128"/>
      <c r="J59" s="128">
        <f t="shared" si="9"/>
        <v>910</v>
      </c>
      <c r="K59" s="188">
        <v>8</v>
      </c>
      <c r="L59" s="128"/>
      <c r="M59" s="129"/>
    </row>
    <row r="60" spans="1:13" s="110" customFormat="1" ht="12.75">
      <c r="A60" s="149" t="s">
        <v>602</v>
      </c>
      <c r="B60" s="128">
        <v>520</v>
      </c>
      <c r="C60" s="128">
        <v>180</v>
      </c>
      <c r="D60" s="128">
        <v>2410</v>
      </c>
      <c r="E60" s="128">
        <v>650</v>
      </c>
      <c r="F60" s="128">
        <v>600</v>
      </c>
      <c r="G60" s="128">
        <v>430</v>
      </c>
      <c r="H60" s="128">
        <f t="shared" si="8"/>
        <v>4790</v>
      </c>
      <c r="I60" s="128"/>
      <c r="J60" s="128">
        <f t="shared" si="9"/>
        <v>4790</v>
      </c>
      <c r="K60" s="188">
        <v>33</v>
      </c>
      <c r="L60" s="128"/>
      <c r="M60" s="129"/>
    </row>
    <row r="61" spans="1:13" s="110" customFormat="1" ht="12.75">
      <c r="A61" s="149" t="s">
        <v>606</v>
      </c>
      <c r="B61" s="128">
        <v>0</v>
      </c>
      <c r="C61" s="128">
        <v>0</v>
      </c>
      <c r="D61" s="128">
        <v>910</v>
      </c>
      <c r="E61" s="128">
        <v>0</v>
      </c>
      <c r="F61" s="128">
        <v>0</v>
      </c>
      <c r="G61" s="128">
        <v>0</v>
      </c>
      <c r="H61" s="128">
        <f aca="true" t="shared" si="10" ref="H61:H68">SUM(B61:G61)+L61</f>
        <v>910</v>
      </c>
      <c r="I61" s="128"/>
      <c r="J61" s="128">
        <f aca="true" t="shared" si="11" ref="J61:J68">SUM(H61:I61)</f>
        <v>910</v>
      </c>
      <c r="K61" s="188">
        <v>8</v>
      </c>
      <c r="L61" s="128"/>
      <c r="M61" s="129"/>
    </row>
    <row r="62" spans="1:15" s="110" customFormat="1" ht="12.75">
      <c r="A62" s="149" t="s">
        <v>607</v>
      </c>
      <c r="B62" s="128">
        <v>690</v>
      </c>
      <c r="C62" s="128">
        <v>1470</v>
      </c>
      <c r="D62" s="128">
        <v>3110</v>
      </c>
      <c r="E62" s="128">
        <v>690</v>
      </c>
      <c r="F62" s="128">
        <v>600</v>
      </c>
      <c r="G62" s="128">
        <v>1030</v>
      </c>
      <c r="H62" s="128">
        <f t="shared" si="10"/>
        <v>7590</v>
      </c>
      <c r="I62" s="128"/>
      <c r="J62" s="128">
        <f t="shared" si="11"/>
        <v>7590</v>
      </c>
      <c r="K62" s="188">
        <v>53</v>
      </c>
      <c r="L62" s="128"/>
      <c r="M62" s="129"/>
      <c r="O62" s="110" t="s">
        <v>609</v>
      </c>
    </row>
    <row r="63" spans="1:13" s="110" customFormat="1" ht="12.75">
      <c r="A63" s="149" t="s">
        <v>610</v>
      </c>
      <c r="B63" s="128">
        <v>0</v>
      </c>
      <c r="C63" s="128">
        <v>0</v>
      </c>
      <c r="D63" s="128">
        <v>250</v>
      </c>
      <c r="E63" s="128">
        <v>0</v>
      </c>
      <c r="F63" s="128">
        <v>0</v>
      </c>
      <c r="G63" s="128">
        <v>0</v>
      </c>
      <c r="H63" s="128">
        <f t="shared" si="10"/>
        <v>250</v>
      </c>
      <c r="I63" s="128"/>
      <c r="J63" s="128">
        <f t="shared" si="11"/>
        <v>250</v>
      </c>
      <c r="K63" s="188">
        <v>2</v>
      </c>
      <c r="L63" s="128"/>
      <c r="M63" s="129"/>
    </row>
    <row r="64" spans="1:13" s="110" customFormat="1" ht="12.75">
      <c r="A64" s="149" t="s">
        <v>611</v>
      </c>
      <c r="B64" s="128">
        <v>0</v>
      </c>
      <c r="C64" s="128">
        <v>240</v>
      </c>
      <c r="D64" s="128">
        <v>1950</v>
      </c>
      <c r="E64" s="128">
        <v>0</v>
      </c>
      <c r="F64" s="128">
        <v>0</v>
      </c>
      <c r="G64" s="128">
        <v>1360</v>
      </c>
      <c r="H64" s="128">
        <f t="shared" si="10"/>
        <v>3550</v>
      </c>
      <c r="I64" s="128"/>
      <c r="J64" s="128">
        <f t="shared" si="11"/>
        <v>3550</v>
      </c>
      <c r="K64" s="188">
        <v>22</v>
      </c>
      <c r="L64" s="128"/>
      <c r="M64" s="129"/>
    </row>
    <row r="65" spans="1:13" s="110" customFormat="1" ht="12.75">
      <c r="A65" s="149" t="s">
        <v>645</v>
      </c>
      <c r="B65" s="128">
        <v>0</v>
      </c>
      <c r="C65" s="128">
        <v>0</v>
      </c>
      <c r="D65" s="128">
        <v>930</v>
      </c>
      <c r="E65" s="128">
        <v>0</v>
      </c>
      <c r="F65" s="128">
        <v>0</v>
      </c>
      <c r="G65" s="128">
        <v>930</v>
      </c>
      <c r="H65" s="128">
        <f t="shared" si="10"/>
        <v>1860</v>
      </c>
      <c r="I65" s="128"/>
      <c r="J65" s="128">
        <f t="shared" si="11"/>
        <v>1860</v>
      </c>
      <c r="K65" s="188">
        <v>18</v>
      </c>
      <c r="L65" s="128"/>
      <c r="M65" s="129"/>
    </row>
    <row r="66" spans="1:13" s="209" customFormat="1" ht="12.75">
      <c r="A66" s="149" t="s">
        <v>898</v>
      </c>
      <c r="B66" s="210">
        <v>0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f>SUM(B66:G66)+L66</f>
        <v>0</v>
      </c>
      <c r="I66" s="210">
        <v>7500</v>
      </c>
      <c r="J66" s="210">
        <f>SUM(H66:I66)</f>
        <v>7500</v>
      </c>
      <c r="K66" s="211" t="s">
        <v>350</v>
      </c>
      <c r="L66" s="210"/>
      <c r="M66" s="212"/>
    </row>
    <row r="67" spans="1:13" s="110" customFormat="1" ht="12.75">
      <c r="A67" s="149" t="s">
        <v>894</v>
      </c>
      <c r="B67" s="128">
        <v>0</v>
      </c>
      <c r="C67" s="128">
        <v>880</v>
      </c>
      <c r="D67" s="128">
        <v>1840</v>
      </c>
      <c r="E67" s="128">
        <v>0</v>
      </c>
      <c r="F67" s="128">
        <v>0</v>
      </c>
      <c r="G67" s="128">
        <v>690</v>
      </c>
      <c r="H67" s="128">
        <f>SUM(B67:G67)+L67</f>
        <v>3410</v>
      </c>
      <c r="I67" s="128"/>
      <c r="J67" s="128">
        <f>SUM(H67:I67)</f>
        <v>3410</v>
      </c>
      <c r="K67" s="188">
        <v>30</v>
      </c>
      <c r="L67" s="128"/>
      <c r="M67" s="129"/>
    </row>
    <row r="68" spans="1:13" s="110" customFormat="1" ht="12.75">
      <c r="A68" s="149" t="s">
        <v>617</v>
      </c>
      <c r="B68" s="128">
        <v>1000</v>
      </c>
      <c r="C68" s="128">
        <v>0</v>
      </c>
      <c r="D68" s="128">
        <v>0</v>
      </c>
      <c r="E68" s="128">
        <v>0</v>
      </c>
      <c r="F68" s="128">
        <v>0</v>
      </c>
      <c r="G68" s="128">
        <f>390+165</f>
        <v>555</v>
      </c>
      <c r="H68" s="128">
        <f t="shared" si="10"/>
        <v>1555</v>
      </c>
      <c r="I68" s="128"/>
      <c r="J68" s="128">
        <f t="shared" si="11"/>
        <v>1555</v>
      </c>
      <c r="K68" s="188">
        <v>15</v>
      </c>
      <c r="L68" s="128"/>
      <c r="M68" s="129"/>
    </row>
    <row r="69" spans="1:13" s="110" customFormat="1" ht="12.75">
      <c r="A69" s="149" t="s">
        <v>534</v>
      </c>
      <c r="B69" s="128">
        <f>240+360</f>
        <v>600</v>
      </c>
      <c r="C69" s="128">
        <v>0</v>
      </c>
      <c r="D69" s="128">
        <v>1395</v>
      </c>
      <c r="E69" s="128">
        <v>385</v>
      </c>
      <c r="F69" s="128">
        <v>675</v>
      </c>
      <c r="G69" s="128">
        <f>1045+1060+110+60</f>
        <v>2275</v>
      </c>
      <c r="H69" s="128">
        <f t="shared" si="8"/>
        <v>5330</v>
      </c>
      <c r="I69" s="128"/>
      <c r="J69" s="128">
        <f t="shared" si="9"/>
        <v>5330</v>
      </c>
      <c r="K69" s="188">
        <v>54</v>
      </c>
      <c r="L69" s="170">
        <v>0</v>
      </c>
      <c r="M69" s="129"/>
    </row>
    <row r="70" spans="1:13" s="110" customFormat="1" ht="12.75">
      <c r="A70" s="149" t="s">
        <v>746</v>
      </c>
      <c r="B70" s="128">
        <v>0</v>
      </c>
      <c r="C70" s="128">
        <v>200</v>
      </c>
      <c r="D70" s="128">
        <f>1670+130</f>
        <v>1800</v>
      </c>
      <c r="E70" s="128">
        <v>0</v>
      </c>
      <c r="F70" s="128">
        <v>460</v>
      </c>
      <c r="G70" s="128">
        <v>460</v>
      </c>
      <c r="H70" s="128">
        <f t="shared" si="8"/>
        <v>2920</v>
      </c>
      <c r="I70" s="128"/>
      <c r="J70" s="128">
        <f t="shared" si="9"/>
        <v>2920</v>
      </c>
      <c r="K70" s="188">
        <v>26</v>
      </c>
      <c r="L70" s="128">
        <v>0</v>
      </c>
      <c r="M70" s="129"/>
    </row>
    <row r="71" spans="1:13" s="110" customFormat="1" ht="12.75">
      <c r="A71" s="149" t="s">
        <v>616</v>
      </c>
      <c r="B71" s="128">
        <v>110</v>
      </c>
      <c r="C71" s="128">
        <v>0</v>
      </c>
      <c r="D71" s="128">
        <v>110</v>
      </c>
      <c r="E71" s="128">
        <v>110</v>
      </c>
      <c r="F71" s="128">
        <v>0</v>
      </c>
      <c r="G71" s="128">
        <v>0</v>
      </c>
      <c r="H71" s="128">
        <f aca="true" t="shared" si="12" ref="H71:H97">SUM(B71:G71)+L71</f>
        <v>330</v>
      </c>
      <c r="I71" s="128"/>
      <c r="J71" s="128">
        <f aca="true" t="shared" si="13" ref="J71:J97">SUM(H71:I71)</f>
        <v>330</v>
      </c>
      <c r="K71" s="188">
        <v>3</v>
      </c>
      <c r="L71" s="128"/>
      <c r="M71" s="129"/>
    </row>
    <row r="72" spans="1:13" s="110" customFormat="1" ht="12.75">
      <c r="A72" s="149" t="s">
        <v>652</v>
      </c>
      <c r="B72" s="128">
        <v>195</v>
      </c>
      <c r="C72" s="128">
        <v>935</v>
      </c>
      <c r="D72" s="128">
        <v>865</v>
      </c>
      <c r="E72" s="128">
        <v>0</v>
      </c>
      <c r="F72" s="128">
        <v>0</v>
      </c>
      <c r="G72" s="128">
        <f>725+105</f>
        <v>830</v>
      </c>
      <c r="H72" s="128">
        <f t="shared" si="12"/>
        <v>2825</v>
      </c>
      <c r="I72" s="128"/>
      <c r="J72" s="128">
        <f t="shared" si="13"/>
        <v>2825</v>
      </c>
      <c r="K72" s="188">
        <v>25</v>
      </c>
      <c r="L72" s="128">
        <v>0</v>
      </c>
      <c r="M72" s="129"/>
    </row>
    <row r="73" spans="1:13" s="110" customFormat="1" ht="12.75">
      <c r="A73" s="149" t="s">
        <v>958</v>
      </c>
      <c r="B73" s="128">
        <v>0</v>
      </c>
      <c r="C73" s="128">
        <v>0</v>
      </c>
      <c r="D73" s="128">
        <v>0</v>
      </c>
      <c r="E73" s="128">
        <v>0</v>
      </c>
      <c r="F73" s="128">
        <v>0</v>
      </c>
      <c r="G73" s="128">
        <v>110</v>
      </c>
      <c r="H73" s="128">
        <f t="shared" si="12"/>
        <v>110</v>
      </c>
      <c r="I73" s="128"/>
      <c r="J73" s="128">
        <f t="shared" si="13"/>
        <v>110</v>
      </c>
      <c r="K73" s="188">
        <v>1</v>
      </c>
      <c r="L73" s="128"/>
      <c r="M73" s="129"/>
    </row>
    <row r="74" spans="1:13" s="209" customFormat="1" ht="12.75">
      <c r="A74" s="215" t="s">
        <v>426</v>
      </c>
      <c r="B74" s="210">
        <v>0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f t="shared" si="12"/>
        <v>0</v>
      </c>
      <c r="I74" s="210">
        <v>15893</v>
      </c>
      <c r="J74" s="210">
        <f t="shared" si="13"/>
        <v>15893</v>
      </c>
      <c r="K74" s="211"/>
      <c r="L74" s="210"/>
      <c r="M74" s="212"/>
    </row>
    <row r="75" spans="1:13" s="209" customFormat="1" ht="12.75">
      <c r="A75" s="215" t="s">
        <v>441</v>
      </c>
      <c r="B75" s="210">
        <v>0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f t="shared" si="12"/>
        <v>0</v>
      </c>
      <c r="I75" s="210">
        <v>2907.65</v>
      </c>
      <c r="J75" s="210">
        <f t="shared" si="13"/>
        <v>2907.65</v>
      </c>
      <c r="K75" s="211"/>
      <c r="L75" s="210"/>
      <c r="M75" s="212"/>
    </row>
    <row r="76" spans="1:13" s="209" customFormat="1" ht="12.75">
      <c r="A76" s="215" t="s">
        <v>452</v>
      </c>
      <c r="B76" s="210">
        <v>0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f t="shared" si="12"/>
        <v>0</v>
      </c>
      <c r="I76" s="210">
        <v>2331</v>
      </c>
      <c r="J76" s="210">
        <f t="shared" si="13"/>
        <v>2331</v>
      </c>
      <c r="K76" s="211"/>
      <c r="L76" s="210"/>
      <c r="M76" s="212"/>
    </row>
    <row r="77" spans="1:13" s="209" customFormat="1" ht="12.75">
      <c r="A77" s="215" t="s">
        <v>426</v>
      </c>
      <c r="B77" s="210">
        <v>0</v>
      </c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f t="shared" si="12"/>
        <v>0</v>
      </c>
      <c r="I77" s="210">
        <v>16359</v>
      </c>
      <c r="J77" s="210">
        <f t="shared" si="13"/>
        <v>16359</v>
      </c>
      <c r="K77" s="211"/>
      <c r="L77" s="210"/>
      <c r="M77" s="212"/>
    </row>
    <row r="78" spans="1:13" s="209" customFormat="1" ht="12.75">
      <c r="A78" s="215" t="s">
        <v>628</v>
      </c>
      <c r="B78" s="210">
        <v>0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f t="shared" si="12"/>
        <v>0</v>
      </c>
      <c r="I78" s="210">
        <v>3428.81</v>
      </c>
      <c r="J78" s="210">
        <f t="shared" si="13"/>
        <v>3428.81</v>
      </c>
      <c r="K78" s="211"/>
      <c r="L78" s="210"/>
      <c r="M78" s="212"/>
    </row>
    <row r="79" spans="1:13" s="209" customFormat="1" ht="12.75">
      <c r="A79" s="215" t="s">
        <v>906</v>
      </c>
      <c r="B79" s="210">
        <v>0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f>SUM(B79:G79)+L79</f>
        <v>0</v>
      </c>
      <c r="I79" s="210">
        <v>825</v>
      </c>
      <c r="J79" s="210">
        <f>SUM(H79:I79)</f>
        <v>825</v>
      </c>
      <c r="K79" s="211"/>
      <c r="L79" s="210"/>
      <c r="M79" s="212"/>
    </row>
    <row r="80" spans="1:13" s="209" customFormat="1" ht="12.75">
      <c r="A80" s="215" t="s">
        <v>908</v>
      </c>
      <c r="B80" s="210">
        <v>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f>SUM(B80:G80)+L80</f>
        <v>0</v>
      </c>
      <c r="I80" s="210">
        <v>1518.75</v>
      </c>
      <c r="J80" s="210">
        <f>SUM(H80:I80)</f>
        <v>1518.75</v>
      </c>
      <c r="K80" s="211"/>
      <c r="L80" s="210"/>
      <c r="M80" s="212"/>
    </row>
    <row r="81" spans="1:13" s="110" customFormat="1" ht="12.75">
      <c r="A81" s="149" t="s">
        <v>665</v>
      </c>
      <c r="B81" s="128">
        <v>0</v>
      </c>
      <c r="C81" s="128">
        <v>0</v>
      </c>
      <c r="D81" s="128">
        <v>110</v>
      </c>
      <c r="E81" s="128">
        <v>0</v>
      </c>
      <c r="F81" s="128">
        <v>0</v>
      </c>
      <c r="G81" s="128">
        <v>170</v>
      </c>
      <c r="H81" s="128">
        <f t="shared" si="12"/>
        <v>280</v>
      </c>
      <c r="I81" s="128"/>
      <c r="J81" s="128">
        <f t="shared" si="13"/>
        <v>280</v>
      </c>
      <c r="K81" s="188">
        <v>3</v>
      </c>
      <c r="L81" s="128">
        <v>0</v>
      </c>
      <c r="M81" s="129"/>
    </row>
    <row r="82" spans="1:13" s="110" customFormat="1" ht="12.75">
      <c r="A82" s="149" t="s">
        <v>707</v>
      </c>
      <c r="B82" s="128">
        <v>0</v>
      </c>
      <c r="C82" s="128">
        <v>0</v>
      </c>
      <c r="D82" s="128">
        <v>420</v>
      </c>
      <c r="E82" s="128">
        <v>0</v>
      </c>
      <c r="F82" s="128">
        <v>0</v>
      </c>
      <c r="G82" s="128">
        <v>800</v>
      </c>
      <c r="H82" s="128">
        <f t="shared" si="12"/>
        <v>1220</v>
      </c>
      <c r="I82" s="128"/>
      <c r="J82" s="128">
        <f t="shared" si="13"/>
        <v>1220</v>
      </c>
      <c r="K82" s="188">
        <v>11</v>
      </c>
      <c r="L82" s="128"/>
      <c r="M82" s="129"/>
    </row>
    <row r="83" spans="1:13" s="110" customFormat="1" ht="12.75">
      <c r="A83" s="149" t="s">
        <v>706</v>
      </c>
      <c r="B83" s="128">
        <v>0</v>
      </c>
      <c r="C83" s="128">
        <v>0</v>
      </c>
      <c r="D83" s="128">
        <v>1430</v>
      </c>
      <c r="E83" s="128">
        <v>0</v>
      </c>
      <c r="F83" s="128">
        <v>0</v>
      </c>
      <c r="G83" s="128">
        <v>900</v>
      </c>
      <c r="H83" s="128">
        <f t="shared" si="12"/>
        <v>2330</v>
      </c>
      <c r="I83" s="128"/>
      <c r="J83" s="128">
        <f t="shared" si="13"/>
        <v>2330</v>
      </c>
      <c r="K83" s="188">
        <v>19</v>
      </c>
      <c r="L83" s="128"/>
      <c r="M83" s="129"/>
    </row>
    <row r="84" spans="1:13" s="110" customFormat="1" ht="12.75">
      <c r="A84" s="149" t="s">
        <v>666</v>
      </c>
      <c r="B84" s="128">
        <v>0</v>
      </c>
      <c r="C84" s="128">
        <f>110-110</f>
        <v>0</v>
      </c>
      <c r="D84" s="128">
        <f>90+110</f>
        <v>200</v>
      </c>
      <c r="E84" s="128">
        <v>0</v>
      </c>
      <c r="F84" s="128">
        <v>0</v>
      </c>
      <c r="G84" s="128">
        <v>170</v>
      </c>
      <c r="H84" s="128">
        <f t="shared" si="12"/>
        <v>370</v>
      </c>
      <c r="I84" s="128"/>
      <c r="J84" s="128">
        <f t="shared" si="13"/>
        <v>370</v>
      </c>
      <c r="K84" s="188">
        <v>4</v>
      </c>
      <c r="L84" s="128">
        <v>0</v>
      </c>
      <c r="M84" s="129"/>
    </row>
    <row r="85" spans="1:13" s="110" customFormat="1" ht="12.75">
      <c r="A85" s="149" t="s">
        <v>659</v>
      </c>
      <c r="B85" s="128">
        <v>750</v>
      </c>
      <c r="C85" s="128">
        <v>0</v>
      </c>
      <c r="D85" s="128">
        <f>2350+200+100</f>
        <v>2650</v>
      </c>
      <c r="E85" s="128">
        <v>0</v>
      </c>
      <c r="F85" s="128">
        <v>700</v>
      </c>
      <c r="G85" s="128">
        <v>1600</v>
      </c>
      <c r="H85" s="128">
        <f t="shared" si="12"/>
        <v>5700</v>
      </c>
      <c r="I85" s="128"/>
      <c r="J85" s="128">
        <f t="shared" si="13"/>
        <v>5700</v>
      </c>
      <c r="K85" s="188">
        <v>34</v>
      </c>
      <c r="L85" s="128">
        <v>0</v>
      </c>
      <c r="M85" s="129"/>
    </row>
    <row r="86" spans="1:13" s="110" customFormat="1" ht="12.75">
      <c r="A86" s="149" t="s">
        <v>662</v>
      </c>
      <c r="B86" s="128">
        <v>850</v>
      </c>
      <c r="C86" s="128">
        <v>200</v>
      </c>
      <c r="D86" s="128">
        <f>4470+200</f>
        <v>4670</v>
      </c>
      <c r="E86" s="128">
        <v>300</v>
      </c>
      <c r="F86" s="128">
        <v>700</v>
      </c>
      <c r="G86" s="128">
        <v>2640</v>
      </c>
      <c r="H86" s="128">
        <f t="shared" si="12"/>
        <v>9360</v>
      </c>
      <c r="I86" s="128"/>
      <c r="J86" s="128">
        <f t="shared" si="13"/>
        <v>9360</v>
      </c>
      <c r="K86" s="188">
        <v>57</v>
      </c>
      <c r="L86" s="128">
        <v>0</v>
      </c>
      <c r="M86" s="129"/>
    </row>
    <row r="87" spans="1:13" s="110" customFormat="1" ht="12.75">
      <c r="A87" s="149" t="s">
        <v>672</v>
      </c>
      <c r="B87" s="128">
        <v>0</v>
      </c>
      <c r="C87" s="128">
        <v>0</v>
      </c>
      <c r="D87" s="128">
        <v>1600</v>
      </c>
      <c r="E87" s="128">
        <v>200</v>
      </c>
      <c r="F87" s="128">
        <v>0</v>
      </c>
      <c r="G87" s="128">
        <v>1400</v>
      </c>
      <c r="H87" s="128">
        <f t="shared" si="12"/>
        <v>3200</v>
      </c>
      <c r="I87" s="128"/>
      <c r="J87" s="128">
        <f t="shared" si="13"/>
        <v>3200</v>
      </c>
      <c r="K87" s="188">
        <v>16</v>
      </c>
      <c r="L87" s="128"/>
      <c r="M87" s="129"/>
    </row>
    <row r="88" spans="1:13" s="209" customFormat="1" ht="12.75">
      <c r="A88" s="215" t="s">
        <v>670</v>
      </c>
      <c r="B88" s="210">
        <v>0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f t="shared" si="12"/>
        <v>0</v>
      </c>
      <c r="I88" s="210">
        <v>3570</v>
      </c>
      <c r="J88" s="210">
        <f t="shared" si="13"/>
        <v>3570</v>
      </c>
      <c r="K88" s="211"/>
      <c r="L88" s="210"/>
      <c r="M88" s="212"/>
    </row>
    <row r="89" spans="1:13" s="209" customFormat="1" ht="12.75">
      <c r="A89" s="215" t="s">
        <v>671</v>
      </c>
      <c r="B89" s="210">
        <v>0</v>
      </c>
      <c r="C89" s="210">
        <v>0</v>
      </c>
      <c r="D89" s="210">
        <v>0</v>
      </c>
      <c r="E89" s="210">
        <v>0</v>
      </c>
      <c r="F89" s="210">
        <v>0</v>
      </c>
      <c r="G89" s="210">
        <v>0</v>
      </c>
      <c r="H89" s="210">
        <f t="shared" si="12"/>
        <v>0</v>
      </c>
      <c r="I89" s="210">
        <v>1040</v>
      </c>
      <c r="J89" s="210">
        <f t="shared" si="13"/>
        <v>1040</v>
      </c>
      <c r="K89" s="211"/>
      <c r="L89" s="210"/>
      <c r="M89" s="212"/>
    </row>
    <row r="90" spans="1:13" s="110" customFormat="1" ht="12.75">
      <c r="A90" s="149" t="s">
        <v>630</v>
      </c>
      <c r="B90" s="128">
        <v>0</v>
      </c>
      <c r="C90" s="128">
        <v>0</v>
      </c>
      <c r="D90" s="128">
        <v>100</v>
      </c>
      <c r="E90" s="128">
        <v>0</v>
      </c>
      <c r="F90" s="128">
        <v>0</v>
      </c>
      <c r="G90" s="128">
        <v>0</v>
      </c>
      <c r="H90" s="128">
        <f t="shared" si="12"/>
        <v>100</v>
      </c>
      <c r="I90" s="128"/>
      <c r="J90" s="128">
        <f t="shared" si="13"/>
        <v>100</v>
      </c>
      <c r="K90" s="188">
        <v>1</v>
      </c>
      <c r="L90" s="128"/>
      <c r="M90" s="129"/>
    </row>
    <row r="91" spans="1:13" s="110" customFormat="1" ht="12.75">
      <c r="A91" s="149" t="s">
        <v>686</v>
      </c>
      <c r="B91" s="128">
        <v>0</v>
      </c>
      <c r="C91" s="128">
        <v>0</v>
      </c>
      <c r="D91" s="128">
        <v>560</v>
      </c>
      <c r="E91" s="128">
        <v>0</v>
      </c>
      <c r="F91" s="128">
        <v>0</v>
      </c>
      <c r="G91" s="128">
        <v>0</v>
      </c>
      <c r="H91" s="128">
        <f t="shared" si="12"/>
        <v>560</v>
      </c>
      <c r="I91" s="128"/>
      <c r="J91" s="128">
        <f t="shared" si="13"/>
        <v>560</v>
      </c>
      <c r="K91" s="188">
        <v>2</v>
      </c>
      <c r="L91" s="128"/>
      <c r="M91" s="129"/>
    </row>
    <row r="92" spans="1:13" s="110" customFormat="1" ht="12.75">
      <c r="A92" s="149" t="s">
        <v>694</v>
      </c>
      <c r="B92" s="128">
        <v>110</v>
      </c>
      <c r="C92" s="128">
        <v>0</v>
      </c>
      <c r="D92" s="128">
        <v>0</v>
      </c>
      <c r="E92" s="128">
        <v>0</v>
      </c>
      <c r="F92" s="128">
        <v>135</v>
      </c>
      <c r="G92" s="128">
        <v>45</v>
      </c>
      <c r="H92" s="128">
        <f t="shared" si="12"/>
        <v>290</v>
      </c>
      <c r="I92" s="128"/>
      <c r="J92" s="128">
        <f t="shared" si="13"/>
        <v>290</v>
      </c>
      <c r="K92" s="188">
        <v>7</v>
      </c>
      <c r="L92" s="128"/>
      <c r="M92" s="129"/>
    </row>
    <row r="93" spans="1:13" s="110" customFormat="1" ht="12.75">
      <c r="A93" s="149" t="s">
        <v>692</v>
      </c>
      <c r="B93" s="128">
        <v>866.88</v>
      </c>
      <c r="C93" s="128">
        <v>0</v>
      </c>
      <c r="D93" s="128">
        <v>0</v>
      </c>
      <c r="E93" s="128">
        <v>0</v>
      </c>
      <c r="F93" s="128">
        <v>786.14</v>
      </c>
      <c r="G93" s="128">
        <v>186.98</v>
      </c>
      <c r="H93" s="128">
        <f t="shared" si="12"/>
        <v>1840</v>
      </c>
      <c r="I93" s="128"/>
      <c r="J93" s="128">
        <f t="shared" si="13"/>
        <v>1840</v>
      </c>
      <c r="K93" s="188">
        <v>23</v>
      </c>
      <c r="L93" s="128"/>
      <c r="M93" s="129"/>
    </row>
    <row r="94" spans="1:13" s="110" customFormat="1" ht="12.75">
      <c r="A94" s="149" t="s">
        <v>699</v>
      </c>
      <c r="B94" s="128">
        <v>0</v>
      </c>
      <c r="C94" s="128">
        <v>0</v>
      </c>
      <c r="D94" s="128">
        <v>60</v>
      </c>
      <c r="E94" s="128">
        <v>0</v>
      </c>
      <c r="F94" s="128">
        <v>0</v>
      </c>
      <c r="G94" s="128">
        <v>0</v>
      </c>
      <c r="H94" s="128">
        <f t="shared" si="12"/>
        <v>60</v>
      </c>
      <c r="I94" s="128"/>
      <c r="J94" s="128">
        <f t="shared" si="13"/>
        <v>60</v>
      </c>
      <c r="K94" s="188">
        <v>1</v>
      </c>
      <c r="L94" s="128"/>
      <c r="M94" s="129"/>
    </row>
    <row r="95" spans="1:13" s="110" customFormat="1" ht="12.75">
      <c r="A95" s="149" t="s">
        <v>687</v>
      </c>
      <c r="B95" s="128">
        <v>280</v>
      </c>
      <c r="C95" s="128">
        <v>0</v>
      </c>
      <c r="D95" s="128">
        <v>560</v>
      </c>
      <c r="E95" s="128">
        <v>0</v>
      </c>
      <c r="F95" s="128">
        <v>0</v>
      </c>
      <c r="G95" s="128">
        <v>0</v>
      </c>
      <c r="H95" s="128">
        <f t="shared" si="12"/>
        <v>840</v>
      </c>
      <c r="I95" s="128"/>
      <c r="J95" s="128">
        <f t="shared" si="13"/>
        <v>840</v>
      </c>
      <c r="K95" s="188">
        <v>3</v>
      </c>
      <c r="L95" s="128"/>
      <c r="M95" s="129"/>
    </row>
    <row r="96" spans="1:13" s="110" customFormat="1" ht="12.75">
      <c r="A96" s="149" t="s">
        <v>688</v>
      </c>
      <c r="B96" s="128">
        <v>280</v>
      </c>
      <c r="C96" s="128">
        <v>0</v>
      </c>
      <c r="D96" s="128">
        <v>560</v>
      </c>
      <c r="E96" s="128">
        <v>0</v>
      </c>
      <c r="F96" s="128">
        <v>0</v>
      </c>
      <c r="G96" s="128">
        <v>0</v>
      </c>
      <c r="H96" s="128">
        <f t="shared" si="12"/>
        <v>840</v>
      </c>
      <c r="I96" s="128"/>
      <c r="J96" s="128">
        <f t="shared" si="13"/>
        <v>840</v>
      </c>
      <c r="K96" s="188">
        <v>3</v>
      </c>
      <c r="L96" s="128"/>
      <c r="M96" s="129"/>
    </row>
    <row r="97" spans="1:13" s="110" customFormat="1" ht="12.75">
      <c r="A97" s="149" t="s">
        <v>734</v>
      </c>
      <c r="B97" s="128">
        <v>0</v>
      </c>
      <c r="C97" s="128">
        <v>0</v>
      </c>
      <c r="D97" s="128">
        <v>100</v>
      </c>
      <c r="E97" s="128">
        <v>0</v>
      </c>
      <c r="F97" s="128">
        <v>0</v>
      </c>
      <c r="G97" s="128">
        <v>150</v>
      </c>
      <c r="H97" s="128">
        <f t="shared" si="12"/>
        <v>250</v>
      </c>
      <c r="I97" s="128"/>
      <c r="J97" s="128">
        <f t="shared" si="13"/>
        <v>250</v>
      </c>
      <c r="K97" s="188">
        <v>3</v>
      </c>
      <c r="L97" s="128"/>
      <c r="M97" s="129"/>
    </row>
    <row r="98" spans="1:13" s="110" customFormat="1" ht="12.75">
      <c r="A98" s="149" t="s">
        <v>735</v>
      </c>
      <c r="B98" s="128">
        <v>0</v>
      </c>
      <c r="C98" s="128">
        <v>0</v>
      </c>
      <c r="D98" s="128">
        <v>1730</v>
      </c>
      <c r="E98" s="128">
        <v>0</v>
      </c>
      <c r="F98" s="128">
        <v>0</v>
      </c>
      <c r="G98" s="128">
        <v>800</v>
      </c>
      <c r="H98" s="128">
        <f aca="true" t="shared" si="14" ref="H98:H119">SUM(B98:G98)+L98</f>
        <v>2530</v>
      </c>
      <c r="I98" s="128"/>
      <c r="J98" s="128">
        <f aca="true" t="shared" si="15" ref="J98:J119">SUM(H98:I98)</f>
        <v>2530</v>
      </c>
      <c r="K98" s="188">
        <v>18</v>
      </c>
      <c r="L98" s="128"/>
      <c r="M98" s="129"/>
    </row>
    <row r="99" spans="1:13" s="110" customFormat="1" ht="12.75">
      <c r="A99" s="149" t="s">
        <v>724</v>
      </c>
      <c r="B99" s="128">
        <v>0</v>
      </c>
      <c r="C99" s="128">
        <v>0</v>
      </c>
      <c r="D99" s="128">
        <v>430</v>
      </c>
      <c r="E99" s="128">
        <v>0</v>
      </c>
      <c r="F99" s="128">
        <v>190</v>
      </c>
      <c r="G99" s="128">
        <v>1290</v>
      </c>
      <c r="H99" s="128">
        <f t="shared" si="14"/>
        <v>1910</v>
      </c>
      <c r="I99" s="128"/>
      <c r="J99" s="128">
        <f t="shared" si="15"/>
        <v>1910</v>
      </c>
      <c r="K99" s="188">
        <v>18</v>
      </c>
      <c r="L99" s="128"/>
      <c r="M99" s="129"/>
    </row>
    <row r="100" spans="1:13" s="110" customFormat="1" ht="12.75">
      <c r="A100" s="149" t="s">
        <v>821</v>
      </c>
      <c r="B100" s="128">
        <v>650.82</v>
      </c>
      <c r="C100" s="128">
        <v>0</v>
      </c>
      <c r="D100" s="128">
        <v>0</v>
      </c>
      <c r="E100" s="128">
        <v>0</v>
      </c>
      <c r="F100" s="128">
        <v>0</v>
      </c>
      <c r="G100" s="128">
        <v>0</v>
      </c>
      <c r="H100" s="128">
        <f t="shared" si="14"/>
        <v>650.82</v>
      </c>
      <c r="I100" s="128"/>
      <c r="J100" s="128">
        <f t="shared" si="15"/>
        <v>650.82</v>
      </c>
      <c r="K100" s="188" t="s">
        <v>350</v>
      </c>
      <c r="L100" s="128"/>
      <c r="M100" s="129"/>
    </row>
    <row r="101" spans="1:13" s="110" customFormat="1" ht="12.75">
      <c r="A101" s="149" t="s">
        <v>698</v>
      </c>
      <c r="B101" s="128">
        <v>0</v>
      </c>
      <c r="C101" s="128">
        <v>0</v>
      </c>
      <c r="D101" s="128">
        <v>3920</v>
      </c>
      <c r="E101" s="128">
        <v>0</v>
      </c>
      <c r="F101" s="128">
        <v>0</v>
      </c>
      <c r="G101" s="128">
        <v>0</v>
      </c>
      <c r="H101" s="128">
        <f t="shared" si="14"/>
        <v>3920</v>
      </c>
      <c r="I101" s="128"/>
      <c r="J101" s="128">
        <f t="shared" si="15"/>
        <v>3920</v>
      </c>
      <c r="K101" s="188">
        <v>32</v>
      </c>
      <c r="L101" s="128"/>
      <c r="M101" s="129"/>
    </row>
    <row r="102" spans="1:13" s="110" customFormat="1" ht="12.75">
      <c r="A102" s="149" t="s">
        <v>808</v>
      </c>
      <c r="B102" s="128">
        <v>0</v>
      </c>
      <c r="C102" s="128">
        <v>0</v>
      </c>
      <c r="D102" s="128">
        <v>0</v>
      </c>
      <c r="E102" s="128">
        <v>0</v>
      </c>
      <c r="F102" s="128">
        <v>1049.44</v>
      </c>
      <c r="G102" s="128">
        <v>1015.04</v>
      </c>
      <c r="H102" s="128">
        <f t="shared" si="14"/>
        <v>2064.48</v>
      </c>
      <c r="I102" s="128"/>
      <c r="J102" s="128">
        <f t="shared" si="15"/>
        <v>2064.48</v>
      </c>
      <c r="K102" s="188" t="s">
        <v>350</v>
      </c>
      <c r="L102" s="128"/>
      <c r="M102" s="129"/>
    </row>
    <row r="103" spans="1:13" s="110" customFormat="1" ht="12.75">
      <c r="A103" s="149" t="s">
        <v>786</v>
      </c>
      <c r="B103" s="128">
        <v>0</v>
      </c>
      <c r="C103" s="128">
        <v>0</v>
      </c>
      <c r="D103" s="128">
        <v>0</v>
      </c>
      <c r="E103" s="128">
        <v>0</v>
      </c>
      <c r="F103" s="128">
        <v>0</v>
      </c>
      <c r="G103" s="128">
        <v>0</v>
      </c>
      <c r="H103" s="128">
        <f t="shared" si="14"/>
        <v>0</v>
      </c>
      <c r="I103" s="128"/>
      <c r="J103" s="128">
        <f t="shared" si="15"/>
        <v>0</v>
      </c>
      <c r="K103" s="188">
        <v>20</v>
      </c>
      <c r="L103" s="128"/>
      <c r="M103" s="129"/>
    </row>
    <row r="104" spans="1:13" s="110" customFormat="1" ht="12.75">
      <c r="A104" s="149" t="s">
        <v>867</v>
      </c>
      <c r="B104" s="128">
        <v>0</v>
      </c>
      <c r="C104" s="128">
        <v>0</v>
      </c>
      <c r="D104" s="128">
        <v>0</v>
      </c>
      <c r="E104" s="128">
        <v>0</v>
      </c>
      <c r="F104" s="128">
        <v>0</v>
      </c>
      <c r="G104" s="128">
        <v>60</v>
      </c>
      <c r="H104" s="128">
        <f t="shared" si="14"/>
        <v>60</v>
      </c>
      <c r="I104" s="128"/>
      <c r="J104" s="128">
        <f t="shared" si="15"/>
        <v>60</v>
      </c>
      <c r="K104" s="188">
        <v>1</v>
      </c>
      <c r="L104" s="128"/>
      <c r="M104" s="129"/>
    </row>
    <row r="105" spans="1:13" s="209" customFormat="1" ht="12.75">
      <c r="A105" s="215" t="s">
        <v>829</v>
      </c>
      <c r="B105" s="210">
        <v>0</v>
      </c>
      <c r="C105" s="210">
        <v>0</v>
      </c>
      <c r="D105" s="210">
        <v>0</v>
      </c>
      <c r="E105" s="210">
        <v>0</v>
      </c>
      <c r="F105" s="210">
        <v>0</v>
      </c>
      <c r="G105" s="210">
        <v>0</v>
      </c>
      <c r="H105" s="210">
        <f>SUM(B105:G105)+L105</f>
        <v>0</v>
      </c>
      <c r="I105" s="210">
        <v>4080</v>
      </c>
      <c r="J105" s="210">
        <f>SUM(H105:I105)</f>
        <v>4080</v>
      </c>
      <c r="K105" s="211"/>
      <c r="L105" s="210"/>
      <c r="M105" s="212"/>
    </row>
    <row r="106" spans="1:13" s="110" customFormat="1" ht="12.75">
      <c r="A106" s="149" t="s">
        <v>830</v>
      </c>
      <c r="B106" s="128">
        <v>0</v>
      </c>
      <c r="C106" s="128">
        <v>0</v>
      </c>
      <c r="D106" s="128">
        <v>0</v>
      </c>
      <c r="E106" s="128">
        <v>0</v>
      </c>
      <c r="F106" s="128">
        <v>0</v>
      </c>
      <c r="G106" s="128">
        <v>100</v>
      </c>
      <c r="H106" s="128">
        <f t="shared" si="14"/>
        <v>100</v>
      </c>
      <c r="I106" s="128"/>
      <c r="J106" s="128">
        <f t="shared" si="15"/>
        <v>100</v>
      </c>
      <c r="K106" s="188">
        <v>1</v>
      </c>
      <c r="L106" s="128">
        <f>100-100</f>
        <v>0</v>
      </c>
      <c r="M106" s="129"/>
    </row>
    <row r="107" spans="1:13" s="110" customFormat="1" ht="12.75">
      <c r="A107" s="149" t="s">
        <v>800</v>
      </c>
      <c r="B107" s="128">
        <v>0</v>
      </c>
      <c r="C107" s="128">
        <v>0</v>
      </c>
      <c r="D107" s="128">
        <v>0</v>
      </c>
      <c r="E107" s="128">
        <v>0</v>
      </c>
      <c r="F107" s="128">
        <v>0</v>
      </c>
      <c r="G107" s="128">
        <v>445</v>
      </c>
      <c r="H107" s="128">
        <f t="shared" si="14"/>
        <v>445</v>
      </c>
      <c r="I107" s="128"/>
      <c r="J107" s="128">
        <f t="shared" si="15"/>
        <v>445</v>
      </c>
      <c r="K107" s="188">
        <v>4</v>
      </c>
      <c r="L107" s="128"/>
      <c r="M107" s="129"/>
    </row>
    <row r="108" spans="1:13" s="110" customFormat="1" ht="12.75">
      <c r="A108" s="149" t="s">
        <v>801</v>
      </c>
      <c r="B108" s="128">
        <v>0</v>
      </c>
      <c r="C108" s="128">
        <f>480-320</f>
        <v>160</v>
      </c>
      <c r="D108" s="128">
        <f>1760+320</f>
        <v>2080</v>
      </c>
      <c r="E108" s="128">
        <v>0</v>
      </c>
      <c r="F108" s="128">
        <v>0</v>
      </c>
      <c r="G108" s="128">
        <v>480</v>
      </c>
      <c r="H108" s="128">
        <f t="shared" si="14"/>
        <v>2720</v>
      </c>
      <c r="I108" s="128"/>
      <c r="J108" s="128">
        <f t="shared" si="15"/>
        <v>2720</v>
      </c>
      <c r="K108" s="188">
        <v>19</v>
      </c>
      <c r="L108" s="128"/>
      <c r="M108" s="129"/>
    </row>
    <row r="109" spans="1:13" s="110" customFormat="1" ht="12.75">
      <c r="A109" s="149" t="s">
        <v>804</v>
      </c>
      <c r="B109" s="128">
        <v>0</v>
      </c>
      <c r="C109" s="128">
        <v>0</v>
      </c>
      <c r="D109" s="128">
        <v>0</v>
      </c>
      <c r="E109" s="128">
        <v>0</v>
      </c>
      <c r="F109" s="128">
        <v>0</v>
      </c>
      <c r="G109" s="128">
        <v>0</v>
      </c>
      <c r="H109" s="128">
        <f t="shared" si="14"/>
        <v>0</v>
      </c>
      <c r="I109" s="128"/>
      <c r="J109" s="128">
        <f t="shared" si="15"/>
        <v>0</v>
      </c>
      <c r="K109" s="188">
        <v>9</v>
      </c>
      <c r="L109" s="128"/>
      <c r="M109" s="129"/>
    </row>
    <row r="110" spans="1:13" s="110" customFormat="1" ht="12.75">
      <c r="A110" s="149" t="s">
        <v>846</v>
      </c>
      <c r="B110" s="128">
        <v>270</v>
      </c>
      <c r="C110" s="128">
        <v>180</v>
      </c>
      <c r="D110" s="128">
        <v>720</v>
      </c>
      <c r="E110" s="128">
        <v>0</v>
      </c>
      <c r="F110" s="128">
        <v>360</v>
      </c>
      <c r="G110" s="128">
        <v>360</v>
      </c>
      <c r="H110" s="128">
        <f>SUM(B110:G110)+L110</f>
        <v>1890</v>
      </c>
      <c r="I110" s="128"/>
      <c r="J110" s="128">
        <f>SUM(H110:I110)</f>
        <v>1890</v>
      </c>
      <c r="K110" s="188">
        <v>10</v>
      </c>
      <c r="L110" s="128"/>
      <c r="M110" s="129"/>
    </row>
    <row r="111" spans="1:13" s="110" customFormat="1" ht="12.75">
      <c r="A111" s="149" t="s">
        <v>847</v>
      </c>
      <c r="B111" s="128">
        <v>270</v>
      </c>
      <c r="C111" s="128">
        <v>180</v>
      </c>
      <c r="D111" s="128">
        <v>180</v>
      </c>
      <c r="E111" s="128">
        <v>0</v>
      </c>
      <c r="F111" s="128">
        <v>360</v>
      </c>
      <c r="G111" s="128">
        <v>360</v>
      </c>
      <c r="H111" s="128">
        <f t="shared" si="14"/>
        <v>1350</v>
      </c>
      <c r="I111" s="128"/>
      <c r="J111" s="128">
        <f t="shared" si="15"/>
        <v>1350</v>
      </c>
      <c r="K111" s="188">
        <v>7</v>
      </c>
      <c r="L111" s="128"/>
      <c r="M111" s="129"/>
    </row>
    <row r="112" spans="1:13" s="110" customFormat="1" ht="12.75">
      <c r="A112" s="149" t="s">
        <v>1045</v>
      </c>
      <c r="B112" s="128">
        <v>0</v>
      </c>
      <c r="C112" s="128">
        <v>290</v>
      </c>
      <c r="D112" s="128">
        <v>1130</v>
      </c>
      <c r="E112" s="128">
        <v>220</v>
      </c>
      <c r="F112" s="128">
        <v>220</v>
      </c>
      <c r="G112" s="128">
        <v>885</v>
      </c>
      <c r="H112" s="128">
        <f>SUM(B112:G112)+L112</f>
        <v>2745</v>
      </c>
      <c r="I112" s="128"/>
      <c r="J112" s="128">
        <f>SUM(H112:I112)</f>
        <v>2745</v>
      </c>
      <c r="K112" s="188">
        <v>29</v>
      </c>
      <c r="L112" s="128"/>
      <c r="M112" s="129"/>
    </row>
    <row r="113" spans="1:13" s="110" customFormat="1" ht="12.75">
      <c r="A113" s="149" t="s">
        <v>1042</v>
      </c>
      <c r="B113" s="128">
        <v>400</v>
      </c>
      <c r="C113" s="128">
        <v>0</v>
      </c>
      <c r="D113" s="128">
        <v>0</v>
      </c>
      <c r="E113" s="128">
        <v>0</v>
      </c>
      <c r="F113" s="128">
        <v>410</v>
      </c>
      <c r="G113" s="128">
        <v>410</v>
      </c>
      <c r="H113" s="128">
        <f>SUM(B113:G113)+L113</f>
        <v>1220</v>
      </c>
      <c r="I113" s="128"/>
      <c r="J113" s="128">
        <f>SUM(H113:I113)</f>
        <v>1220</v>
      </c>
      <c r="K113" s="188">
        <v>12</v>
      </c>
      <c r="L113" s="128"/>
      <c r="M113" s="129"/>
    </row>
    <row r="114" spans="1:13" s="110" customFormat="1" ht="12.75">
      <c r="A114" s="149" t="s">
        <v>870</v>
      </c>
      <c r="B114" s="128">
        <f>1145+85</f>
        <v>1230</v>
      </c>
      <c r="C114" s="128">
        <v>1050</v>
      </c>
      <c r="D114" s="128">
        <v>3410</v>
      </c>
      <c r="E114" s="128">
        <f>700+385</f>
        <v>1085</v>
      </c>
      <c r="F114" s="128">
        <v>490</v>
      </c>
      <c r="G114" s="128">
        <f>2055+490</f>
        <v>2545</v>
      </c>
      <c r="H114" s="128">
        <f t="shared" si="14"/>
        <v>9810</v>
      </c>
      <c r="I114" s="128"/>
      <c r="J114" s="128">
        <f t="shared" si="15"/>
        <v>9810</v>
      </c>
      <c r="K114" s="188">
        <v>84</v>
      </c>
      <c r="L114" s="128">
        <v>0</v>
      </c>
      <c r="M114" s="129"/>
    </row>
    <row r="115" spans="1:13" s="110" customFormat="1" ht="12.75">
      <c r="A115" s="149" t="s">
        <v>825</v>
      </c>
      <c r="B115" s="128">
        <v>0</v>
      </c>
      <c r="C115" s="128">
        <v>285</v>
      </c>
      <c r="D115" s="128">
        <v>2475</v>
      </c>
      <c r="E115" s="128">
        <v>135</v>
      </c>
      <c r="F115" s="128">
        <v>0</v>
      </c>
      <c r="G115" s="128">
        <v>345</v>
      </c>
      <c r="H115" s="128">
        <f t="shared" si="14"/>
        <v>3240</v>
      </c>
      <c r="I115" s="128"/>
      <c r="J115" s="128">
        <f t="shared" si="15"/>
        <v>3240</v>
      </c>
      <c r="K115" s="188">
        <v>28</v>
      </c>
      <c r="L115" s="128"/>
      <c r="M115" s="129"/>
    </row>
    <row r="116" spans="1:13" s="110" customFormat="1" ht="12.75">
      <c r="A116" s="149" t="s">
        <v>850</v>
      </c>
      <c r="B116" s="128">
        <v>0</v>
      </c>
      <c r="C116" s="128">
        <v>0</v>
      </c>
      <c r="D116" s="128">
        <v>0</v>
      </c>
      <c r="E116" s="128">
        <v>0</v>
      </c>
      <c r="F116" s="128">
        <v>0</v>
      </c>
      <c r="G116" s="128">
        <v>0</v>
      </c>
      <c r="H116" s="128">
        <f t="shared" si="14"/>
        <v>0</v>
      </c>
      <c r="I116" s="128"/>
      <c r="J116" s="128">
        <f t="shared" si="15"/>
        <v>0</v>
      </c>
      <c r="K116" s="188">
        <v>12</v>
      </c>
      <c r="L116" s="128"/>
      <c r="M116" s="129"/>
    </row>
    <row r="117" spans="1:13" s="110" customFormat="1" ht="12.75">
      <c r="A117" s="149" t="s">
        <v>856</v>
      </c>
      <c r="B117" s="128">
        <v>0</v>
      </c>
      <c r="C117" s="128">
        <v>0</v>
      </c>
      <c r="D117" s="128">
        <v>100</v>
      </c>
      <c r="E117" s="128">
        <v>0</v>
      </c>
      <c r="F117" s="128">
        <v>0</v>
      </c>
      <c r="G117" s="128">
        <v>0</v>
      </c>
      <c r="H117" s="128">
        <f t="shared" si="14"/>
        <v>100</v>
      </c>
      <c r="I117" s="128"/>
      <c r="J117" s="128">
        <f t="shared" si="15"/>
        <v>100</v>
      </c>
      <c r="K117" s="188">
        <v>1</v>
      </c>
      <c r="L117" s="128"/>
      <c r="M117" s="129"/>
    </row>
    <row r="118" spans="1:13" s="110" customFormat="1" ht="12.75">
      <c r="A118" s="149" t="s">
        <v>978</v>
      </c>
      <c r="B118" s="128">
        <v>0</v>
      </c>
      <c r="C118" s="128">
        <v>0</v>
      </c>
      <c r="D118" s="128">
        <v>230</v>
      </c>
      <c r="E118" s="128">
        <v>0</v>
      </c>
      <c r="F118" s="128">
        <v>0</v>
      </c>
      <c r="G118" s="128">
        <v>0</v>
      </c>
      <c r="H118" s="128">
        <f t="shared" si="14"/>
        <v>230</v>
      </c>
      <c r="I118" s="128"/>
      <c r="J118" s="128">
        <f t="shared" si="15"/>
        <v>230</v>
      </c>
      <c r="K118" s="188">
        <v>3</v>
      </c>
      <c r="L118" s="128"/>
      <c r="M118" s="129"/>
    </row>
    <row r="119" spans="1:13" s="110" customFormat="1" ht="12.75">
      <c r="A119" s="149" t="s">
        <v>854</v>
      </c>
      <c r="B119" s="128">
        <v>0</v>
      </c>
      <c r="C119" s="128">
        <v>0</v>
      </c>
      <c r="D119" s="128">
        <v>630</v>
      </c>
      <c r="E119" s="128">
        <v>0</v>
      </c>
      <c r="F119" s="128">
        <v>0</v>
      </c>
      <c r="G119" s="128">
        <v>0</v>
      </c>
      <c r="H119" s="128">
        <f t="shared" si="14"/>
        <v>630</v>
      </c>
      <c r="I119" s="128"/>
      <c r="J119" s="128">
        <f t="shared" si="15"/>
        <v>630</v>
      </c>
      <c r="K119" s="188">
        <v>3</v>
      </c>
      <c r="L119" s="128"/>
      <c r="M119" s="129"/>
    </row>
    <row r="120" spans="1:13" s="110" customFormat="1" ht="12.75">
      <c r="A120" s="149" t="s">
        <v>922</v>
      </c>
      <c r="B120" s="128">
        <v>0</v>
      </c>
      <c r="C120" s="128">
        <v>260</v>
      </c>
      <c r="D120" s="128">
        <v>520</v>
      </c>
      <c r="E120" s="128">
        <v>65</v>
      </c>
      <c r="F120" s="128">
        <v>75</v>
      </c>
      <c r="G120" s="128">
        <f>335+75</f>
        <v>410</v>
      </c>
      <c r="H120" s="128">
        <f aca="true" t="shared" si="16" ref="H120:H127">SUM(B120:G120)+L120</f>
        <v>1330</v>
      </c>
      <c r="I120" s="128"/>
      <c r="J120" s="128">
        <f aca="true" t="shared" si="17" ref="J120:J127">SUM(H120:I120)</f>
        <v>1330</v>
      </c>
      <c r="K120" s="188">
        <v>20</v>
      </c>
      <c r="L120" s="128">
        <f>140-75-65</f>
        <v>0</v>
      </c>
      <c r="M120" s="129"/>
    </row>
    <row r="121" spans="1:13" s="110" customFormat="1" ht="12.75">
      <c r="A121" s="149" t="s">
        <v>899</v>
      </c>
      <c r="B121" s="128">
        <v>0</v>
      </c>
      <c r="C121" s="128">
        <v>0</v>
      </c>
      <c r="D121" s="128">
        <v>0</v>
      </c>
      <c r="E121" s="128">
        <v>0</v>
      </c>
      <c r="F121" s="128">
        <v>0</v>
      </c>
      <c r="G121" s="128">
        <v>0</v>
      </c>
      <c r="H121" s="128">
        <f t="shared" si="16"/>
        <v>0</v>
      </c>
      <c r="I121" s="128"/>
      <c r="J121" s="128">
        <f t="shared" si="17"/>
        <v>0</v>
      </c>
      <c r="K121" s="188">
        <v>17</v>
      </c>
      <c r="L121" s="128"/>
      <c r="M121" s="129"/>
    </row>
    <row r="122" spans="1:13" s="110" customFormat="1" ht="12.75">
      <c r="A122" s="110" t="s">
        <v>1015</v>
      </c>
      <c r="B122" s="128">
        <v>0</v>
      </c>
      <c r="C122" s="128">
        <v>240</v>
      </c>
      <c r="D122" s="128">
        <v>420</v>
      </c>
      <c r="E122" s="128">
        <v>0</v>
      </c>
      <c r="F122" s="128">
        <v>0</v>
      </c>
      <c r="G122" s="128">
        <v>60</v>
      </c>
      <c r="H122" s="128">
        <f t="shared" si="16"/>
        <v>720</v>
      </c>
      <c r="I122" s="128"/>
      <c r="J122" s="128">
        <f t="shared" si="17"/>
        <v>720</v>
      </c>
      <c r="K122" s="188">
        <v>10</v>
      </c>
      <c r="L122" s="128"/>
      <c r="M122" s="129"/>
    </row>
    <row r="123" spans="1:13" s="110" customFormat="1" ht="12.75">
      <c r="A123" s="149" t="s">
        <v>923</v>
      </c>
      <c r="B123" s="128">
        <v>0</v>
      </c>
      <c r="C123" s="128">
        <v>120</v>
      </c>
      <c r="D123" s="128">
        <v>690</v>
      </c>
      <c r="E123" s="128">
        <v>0</v>
      </c>
      <c r="F123" s="128">
        <v>0</v>
      </c>
      <c r="G123" s="128">
        <v>0</v>
      </c>
      <c r="H123" s="128">
        <f t="shared" si="16"/>
        <v>810</v>
      </c>
      <c r="I123" s="128"/>
      <c r="J123" s="128">
        <f t="shared" si="17"/>
        <v>810</v>
      </c>
      <c r="K123" s="188">
        <v>11</v>
      </c>
      <c r="L123" s="128"/>
      <c r="M123" s="129"/>
    </row>
    <row r="124" spans="1:13" s="110" customFormat="1" ht="12.75">
      <c r="A124" s="149" t="s">
        <v>924</v>
      </c>
      <c r="B124" s="128">
        <v>0</v>
      </c>
      <c r="C124" s="128">
        <v>140</v>
      </c>
      <c r="D124" s="128">
        <v>715</v>
      </c>
      <c r="E124" s="128">
        <v>0</v>
      </c>
      <c r="F124" s="128">
        <v>0</v>
      </c>
      <c r="G124" s="128">
        <v>0</v>
      </c>
      <c r="H124" s="128">
        <f t="shared" si="16"/>
        <v>855</v>
      </c>
      <c r="I124" s="128"/>
      <c r="J124" s="128">
        <f t="shared" si="17"/>
        <v>855</v>
      </c>
      <c r="K124" s="188">
        <v>10</v>
      </c>
      <c r="L124" s="128"/>
      <c r="M124" s="129"/>
    </row>
    <row r="125" spans="1:13" s="110" customFormat="1" ht="12.75">
      <c r="A125" s="149" t="s">
        <v>1064</v>
      </c>
      <c r="B125" s="128">
        <v>0</v>
      </c>
      <c r="C125" s="128">
        <v>0</v>
      </c>
      <c r="D125" s="128">
        <v>0</v>
      </c>
      <c r="E125" s="128">
        <v>0</v>
      </c>
      <c r="F125" s="128">
        <v>0</v>
      </c>
      <c r="G125" s="128">
        <v>100</v>
      </c>
      <c r="H125" s="128">
        <f>SUM(B125:G125)+L125</f>
        <v>100</v>
      </c>
      <c r="I125" s="128"/>
      <c r="J125" s="128">
        <f>SUM(H125:I125)</f>
        <v>100</v>
      </c>
      <c r="K125" s="188">
        <v>2</v>
      </c>
      <c r="L125" s="128"/>
      <c r="M125" s="129"/>
    </row>
    <row r="126" spans="1:13" s="110" customFormat="1" ht="12.75">
      <c r="A126" s="149" t="s">
        <v>919</v>
      </c>
      <c r="B126" s="128">
        <v>0</v>
      </c>
      <c r="C126" s="128">
        <v>0</v>
      </c>
      <c r="D126" s="128">
        <v>0</v>
      </c>
      <c r="E126" s="128">
        <v>0</v>
      </c>
      <c r="F126" s="128">
        <v>0</v>
      </c>
      <c r="G126" s="128">
        <v>400</v>
      </c>
      <c r="H126" s="128">
        <f t="shared" si="16"/>
        <v>400</v>
      </c>
      <c r="I126" s="128"/>
      <c r="J126" s="128">
        <f t="shared" si="17"/>
        <v>400</v>
      </c>
      <c r="K126" s="188">
        <v>5</v>
      </c>
      <c r="L126" s="128"/>
      <c r="M126" s="129"/>
    </row>
    <row r="127" spans="1:13" s="110" customFormat="1" ht="12.75">
      <c r="A127" s="149" t="s">
        <v>918</v>
      </c>
      <c r="B127" s="128">
        <v>0</v>
      </c>
      <c r="C127" s="128">
        <v>0</v>
      </c>
      <c r="D127" s="128">
        <v>0</v>
      </c>
      <c r="E127" s="128">
        <v>0</v>
      </c>
      <c r="F127" s="128">
        <v>0</v>
      </c>
      <c r="G127" s="128">
        <v>200</v>
      </c>
      <c r="H127" s="128">
        <f t="shared" si="16"/>
        <v>200</v>
      </c>
      <c r="I127" s="128"/>
      <c r="J127" s="128">
        <f t="shared" si="17"/>
        <v>200</v>
      </c>
      <c r="K127" s="188">
        <v>2</v>
      </c>
      <c r="L127" s="128"/>
      <c r="M127" s="129"/>
    </row>
    <row r="128" spans="1:13" s="110" customFormat="1" ht="12.75">
      <c r="A128" s="149" t="s">
        <v>955</v>
      </c>
      <c r="B128" s="128">
        <v>0</v>
      </c>
      <c r="C128" s="128">
        <v>1500</v>
      </c>
      <c r="D128" s="128">
        <v>6740</v>
      </c>
      <c r="E128" s="128">
        <v>670</v>
      </c>
      <c r="F128" s="128">
        <v>300</v>
      </c>
      <c r="G128" s="128">
        <v>2010</v>
      </c>
      <c r="H128" s="128">
        <f aca="true" t="shared" si="18" ref="H128:H139">SUM(B128:G128)+L128</f>
        <v>11220</v>
      </c>
      <c r="I128" s="128"/>
      <c r="J128" s="128">
        <f aca="true" t="shared" si="19" ref="J128:J139">SUM(H128:I128)</f>
        <v>11220</v>
      </c>
      <c r="K128" s="188">
        <v>42</v>
      </c>
      <c r="L128" s="128"/>
      <c r="M128" s="129"/>
    </row>
    <row r="129" spans="1:13" s="110" customFormat="1" ht="12.75">
      <c r="A129" s="149" t="s">
        <v>1038</v>
      </c>
      <c r="B129" s="128">
        <v>0</v>
      </c>
      <c r="C129" s="128">
        <v>0</v>
      </c>
      <c r="D129" s="128">
        <v>60</v>
      </c>
      <c r="E129" s="128">
        <v>0</v>
      </c>
      <c r="F129" s="128">
        <v>0</v>
      </c>
      <c r="G129" s="128">
        <v>120</v>
      </c>
      <c r="H129" s="128">
        <f>SUM(B129:G129)+L129</f>
        <v>180</v>
      </c>
      <c r="I129" s="128"/>
      <c r="J129" s="128">
        <f>SUM(H129:I129)</f>
        <v>180</v>
      </c>
      <c r="K129" s="188">
        <v>3</v>
      </c>
      <c r="L129" s="128"/>
      <c r="M129" s="129"/>
    </row>
    <row r="130" spans="1:13" s="110" customFormat="1" ht="12.75">
      <c r="A130" s="149" t="s">
        <v>949</v>
      </c>
      <c r="B130" s="128">
        <v>0</v>
      </c>
      <c r="C130" s="128">
        <v>0</v>
      </c>
      <c r="D130" s="128">
        <v>345</v>
      </c>
      <c r="E130" s="128">
        <v>65</v>
      </c>
      <c r="F130" s="128">
        <v>0</v>
      </c>
      <c r="G130" s="128">
        <v>560</v>
      </c>
      <c r="H130" s="128">
        <f t="shared" si="18"/>
        <v>970</v>
      </c>
      <c r="I130" s="128"/>
      <c r="J130" s="128">
        <f t="shared" si="19"/>
        <v>970</v>
      </c>
      <c r="K130" s="188">
        <v>11</v>
      </c>
      <c r="L130" s="128"/>
      <c r="M130" s="129"/>
    </row>
    <row r="131" spans="1:13" s="209" customFormat="1" ht="12.75">
      <c r="A131" s="215" t="s">
        <v>935</v>
      </c>
      <c r="B131" s="210">
        <v>0</v>
      </c>
      <c r="C131" s="210">
        <v>0</v>
      </c>
      <c r="D131" s="210">
        <v>0</v>
      </c>
      <c r="E131" s="210">
        <v>0</v>
      </c>
      <c r="F131" s="210">
        <v>0</v>
      </c>
      <c r="G131" s="210">
        <v>0</v>
      </c>
      <c r="H131" s="210">
        <f t="shared" si="18"/>
        <v>0</v>
      </c>
      <c r="I131" s="170">
        <v>1014.88</v>
      </c>
      <c r="J131" s="210">
        <f t="shared" si="19"/>
        <v>1014.88</v>
      </c>
      <c r="K131" s="211"/>
      <c r="L131" s="210"/>
      <c r="M131" s="212"/>
    </row>
    <row r="132" spans="1:13" s="209" customFormat="1" ht="12.75">
      <c r="A132" s="215" t="s">
        <v>994</v>
      </c>
      <c r="B132" s="210">
        <v>0</v>
      </c>
      <c r="C132" s="210">
        <v>0</v>
      </c>
      <c r="D132" s="210">
        <v>0</v>
      </c>
      <c r="E132" s="210">
        <v>0</v>
      </c>
      <c r="F132" s="210">
        <v>0</v>
      </c>
      <c r="G132" s="210">
        <v>0</v>
      </c>
      <c r="H132" s="210">
        <f t="shared" si="18"/>
        <v>0</v>
      </c>
      <c r="I132" s="210">
        <v>4658</v>
      </c>
      <c r="J132" s="210">
        <f t="shared" si="19"/>
        <v>4658</v>
      </c>
      <c r="K132" s="211"/>
      <c r="L132" s="210"/>
      <c r="M132" s="212"/>
    </row>
    <row r="133" spans="1:13" s="209" customFormat="1" ht="12.75">
      <c r="A133" s="215" t="s">
        <v>995</v>
      </c>
      <c r="B133" s="210">
        <v>0</v>
      </c>
      <c r="C133" s="210">
        <v>0</v>
      </c>
      <c r="D133" s="210">
        <v>0</v>
      </c>
      <c r="E133" s="210">
        <v>0</v>
      </c>
      <c r="F133" s="210">
        <v>0</v>
      </c>
      <c r="G133" s="210">
        <v>0</v>
      </c>
      <c r="H133" s="210">
        <f>SUM(B133:G133)+L133</f>
        <v>0</v>
      </c>
      <c r="I133" s="210">
        <v>1359</v>
      </c>
      <c r="J133" s="210">
        <f>SUM(H133:I133)</f>
        <v>1359</v>
      </c>
      <c r="K133" s="211"/>
      <c r="L133" s="210"/>
      <c r="M133" s="212"/>
    </row>
    <row r="134" spans="1:13" s="209" customFormat="1" ht="12.75">
      <c r="A134" s="215" t="s">
        <v>1013</v>
      </c>
      <c r="B134" s="210">
        <v>0</v>
      </c>
      <c r="C134" s="210">
        <v>0</v>
      </c>
      <c r="D134" s="210">
        <v>0</v>
      </c>
      <c r="E134" s="210">
        <v>0</v>
      </c>
      <c r="F134" s="210">
        <v>0</v>
      </c>
      <c r="G134" s="210">
        <v>0</v>
      </c>
      <c r="H134" s="210">
        <f t="shared" si="18"/>
        <v>0</v>
      </c>
      <c r="I134" s="210">
        <v>811</v>
      </c>
      <c r="J134" s="210">
        <f t="shared" si="19"/>
        <v>811</v>
      </c>
      <c r="K134" s="211"/>
      <c r="L134" s="210"/>
      <c r="M134" s="212"/>
    </row>
    <row r="135" spans="1:13" s="110" customFormat="1" ht="12.75">
      <c r="A135" s="149" t="s">
        <v>1019</v>
      </c>
      <c r="B135" s="128">
        <v>0</v>
      </c>
      <c r="C135" s="128">
        <v>130</v>
      </c>
      <c r="D135" s="128">
        <v>0</v>
      </c>
      <c r="E135" s="128">
        <v>0</v>
      </c>
      <c r="F135" s="128">
        <v>0</v>
      </c>
      <c r="G135" s="128">
        <v>0</v>
      </c>
      <c r="H135" s="128">
        <f t="shared" si="18"/>
        <v>130</v>
      </c>
      <c r="I135" s="128"/>
      <c r="J135" s="128">
        <f t="shared" si="19"/>
        <v>130</v>
      </c>
      <c r="K135" s="188">
        <v>1</v>
      </c>
      <c r="L135" s="128"/>
      <c r="M135" s="129"/>
    </row>
    <row r="136" spans="1:13" s="110" customFormat="1" ht="12.75">
      <c r="A136" s="149" t="s">
        <v>972</v>
      </c>
      <c r="B136" s="128">
        <v>0</v>
      </c>
      <c r="C136" s="128">
        <v>0</v>
      </c>
      <c r="D136" s="128">
        <v>120</v>
      </c>
      <c r="E136" s="128">
        <v>60</v>
      </c>
      <c r="F136" s="128">
        <v>0</v>
      </c>
      <c r="G136" s="128">
        <v>120</v>
      </c>
      <c r="H136" s="128">
        <f t="shared" si="18"/>
        <v>300</v>
      </c>
      <c r="I136" s="128"/>
      <c r="J136" s="128">
        <f t="shared" si="19"/>
        <v>300</v>
      </c>
      <c r="K136" s="188">
        <v>5</v>
      </c>
      <c r="L136" s="128"/>
      <c r="M136" s="129"/>
    </row>
    <row r="137" spans="1:13" s="110" customFormat="1" ht="12.75">
      <c r="A137" s="149" t="s">
        <v>986</v>
      </c>
      <c r="B137" s="128">
        <v>0</v>
      </c>
      <c r="C137" s="128">
        <v>0</v>
      </c>
      <c r="D137" s="128">
        <v>0</v>
      </c>
      <c r="E137" s="128">
        <v>0</v>
      </c>
      <c r="F137" s="128">
        <v>157.99</v>
      </c>
      <c r="G137" s="128">
        <v>193.09</v>
      </c>
      <c r="H137" s="128">
        <f t="shared" si="18"/>
        <v>351.08000000000004</v>
      </c>
      <c r="I137" s="128"/>
      <c r="J137" s="128">
        <f t="shared" si="19"/>
        <v>351.08000000000004</v>
      </c>
      <c r="K137" s="188" t="s">
        <v>350</v>
      </c>
      <c r="L137" s="128"/>
      <c r="M137" s="129"/>
    </row>
    <row r="138" spans="1:13" s="110" customFormat="1" ht="12.75">
      <c r="A138" s="149" t="s">
        <v>1021</v>
      </c>
      <c r="B138" s="128">
        <v>0</v>
      </c>
      <c r="C138" s="128">
        <v>0</v>
      </c>
      <c r="D138" s="128">
        <v>351.33</v>
      </c>
      <c r="E138" s="128">
        <v>0</v>
      </c>
      <c r="F138" s="128">
        <v>0</v>
      </c>
      <c r="G138" s="128">
        <v>175.67</v>
      </c>
      <c r="H138" s="128">
        <f>SUM(B138:G138)+L138</f>
        <v>527</v>
      </c>
      <c r="I138" s="128"/>
      <c r="J138" s="128">
        <f>SUM(H138:I138)</f>
        <v>527</v>
      </c>
      <c r="K138" s="188" t="s">
        <v>350</v>
      </c>
      <c r="L138" s="128"/>
      <c r="M138" s="129"/>
    </row>
    <row r="139" spans="1:13" s="110" customFormat="1" ht="12.75">
      <c r="A139" s="149" t="s">
        <v>985</v>
      </c>
      <c r="B139" s="128">
        <v>0</v>
      </c>
      <c r="C139" s="128">
        <v>0</v>
      </c>
      <c r="D139" s="128">
        <v>0</v>
      </c>
      <c r="E139" s="128">
        <v>0</v>
      </c>
      <c r="F139" s="128">
        <v>157.99</v>
      </c>
      <c r="G139" s="128">
        <v>140.43</v>
      </c>
      <c r="H139" s="128">
        <f t="shared" si="18"/>
        <v>298.42</v>
      </c>
      <c r="I139" s="128"/>
      <c r="J139" s="128">
        <f t="shared" si="19"/>
        <v>298.42</v>
      </c>
      <c r="K139" s="188" t="s">
        <v>350</v>
      </c>
      <c r="L139" s="128"/>
      <c r="M139" s="129"/>
    </row>
    <row r="140" spans="1:13" s="110" customFormat="1" ht="12.75">
      <c r="A140" s="149" t="s">
        <v>1039</v>
      </c>
      <c r="B140" s="128">
        <v>0</v>
      </c>
      <c r="C140" s="128">
        <v>0</v>
      </c>
      <c r="D140" s="128">
        <v>0</v>
      </c>
      <c r="E140" s="128">
        <v>0</v>
      </c>
      <c r="F140" s="128">
        <v>0</v>
      </c>
      <c r="G140" s="128">
        <v>60</v>
      </c>
      <c r="H140" s="128">
        <f>SUM(B140:G140)+L140</f>
        <v>60</v>
      </c>
      <c r="I140" s="128"/>
      <c r="J140" s="128">
        <f>SUM(H140:I140)</f>
        <v>60</v>
      </c>
      <c r="K140" s="188">
        <v>1</v>
      </c>
      <c r="L140" s="128"/>
      <c r="M140" s="129"/>
    </row>
    <row r="141" spans="2:13" ht="12.75">
      <c r="B141" s="5"/>
      <c r="C141" s="5"/>
      <c r="D141" s="5"/>
      <c r="E141" s="5"/>
      <c r="F141" s="5"/>
      <c r="G141" s="5"/>
      <c r="H141" s="5"/>
      <c r="I141" s="5"/>
      <c r="J141" s="5"/>
      <c r="K141" s="188"/>
      <c r="L141" s="5"/>
      <c r="M141" s="9"/>
    </row>
    <row r="142" spans="2:14" ht="12.75">
      <c r="B142" s="9"/>
      <c r="C142" s="5"/>
      <c r="D142" s="5"/>
      <c r="K142" s="123"/>
      <c r="L142" s="9"/>
      <c r="M142" s="5"/>
      <c r="N142" s="9"/>
    </row>
    <row r="143" spans="1:14" ht="12.75">
      <c r="A143" s="2" t="s">
        <v>7</v>
      </c>
      <c r="B143" s="5">
        <f>SUM(B7:B142)</f>
        <v>10882.7</v>
      </c>
      <c r="C143" s="5">
        <f aca="true" t="shared" si="20" ref="C143:L143">SUM(C7:C142)</f>
        <v>13325</v>
      </c>
      <c r="D143" s="5">
        <f t="shared" si="20"/>
        <v>99070.54</v>
      </c>
      <c r="E143" s="5">
        <f t="shared" si="20"/>
        <v>7980</v>
      </c>
      <c r="F143" s="5">
        <f t="shared" si="20"/>
        <v>9946.56</v>
      </c>
      <c r="G143" s="5">
        <f t="shared" si="20"/>
        <v>59251.98</v>
      </c>
      <c r="H143" s="5">
        <f t="shared" si="20"/>
        <v>200456.78</v>
      </c>
      <c r="I143" s="5">
        <f t="shared" si="20"/>
        <v>134570.52</v>
      </c>
      <c r="J143" s="5">
        <f t="shared" si="20"/>
        <v>335027.3</v>
      </c>
      <c r="K143" s="261">
        <f t="shared" si="20"/>
        <v>1638</v>
      </c>
      <c r="L143" s="5">
        <f t="shared" si="20"/>
        <v>0</v>
      </c>
      <c r="M143" s="5">
        <f>SUM(M141:M142)</f>
        <v>0</v>
      </c>
      <c r="N143" s="9"/>
    </row>
    <row r="144" spans="1:14" ht="12.75">
      <c r="A144" s="2" t="s">
        <v>162</v>
      </c>
      <c r="B144" s="5">
        <f>I143*B3%</f>
        <v>5732.606989169675</v>
      </c>
      <c r="C144" s="5">
        <f>I143*C3%</f>
        <v>8938.980389891696</v>
      </c>
      <c r="D144" s="5">
        <f>I143*D3%</f>
        <v>78313.24124187726</v>
      </c>
      <c r="E144" s="5">
        <f>I143*E3%</f>
        <v>6801.398122743682</v>
      </c>
      <c r="F144" s="5">
        <f>I143*F3%</f>
        <v>4372.327364620938</v>
      </c>
      <c r="G144" s="5">
        <f>I143*G3%</f>
        <v>30411.965891696753</v>
      </c>
      <c r="H144" s="5">
        <f>SUM(B144:G144)</f>
        <v>134570.52000000002</v>
      </c>
      <c r="I144" s="5"/>
      <c r="J144" s="5"/>
      <c r="L144" s="9"/>
      <c r="M144" s="5"/>
      <c r="N144" s="9"/>
    </row>
    <row r="145" spans="1:14" ht="12.75">
      <c r="A145" s="2" t="s">
        <v>7</v>
      </c>
      <c r="B145" s="5">
        <f aca="true" t="shared" si="21" ref="B145:G145">SUM(B143:B144)</f>
        <v>16615.306989169676</v>
      </c>
      <c r="C145" s="5">
        <f t="shared" si="21"/>
        <v>22263.980389891694</v>
      </c>
      <c r="D145" s="5">
        <f t="shared" si="21"/>
        <v>177383.78124187724</v>
      </c>
      <c r="E145" s="5">
        <f t="shared" si="21"/>
        <v>14781.398122743682</v>
      </c>
      <c r="F145" s="5">
        <f t="shared" si="21"/>
        <v>14318.887364620938</v>
      </c>
      <c r="G145" s="5">
        <f t="shared" si="21"/>
        <v>89663.94589169676</v>
      </c>
      <c r="H145" s="5"/>
      <c r="I145" s="5"/>
      <c r="J145" s="5">
        <f>SUM(B145:I145)</f>
        <v>335027.29999999993</v>
      </c>
      <c r="L145" s="9"/>
      <c r="M145" s="5"/>
      <c r="N145" s="9"/>
    </row>
    <row r="146" spans="2:14" ht="12.75">
      <c r="B146" s="9"/>
      <c r="C146" s="5"/>
      <c r="D146" s="5"/>
      <c r="L146" s="9"/>
      <c r="M146" s="5"/>
      <c r="N146" s="9"/>
    </row>
    <row r="147" spans="2:14" ht="12.75">
      <c r="B147" s="9"/>
      <c r="C147" s="5"/>
      <c r="D147" s="5"/>
      <c r="H147" s="5"/>
      <c r="L147" s="9"/>
      <c r="M147" s="5"/>
      <c r="N147" s="9"/>
    </row>
    <row r="148" spans="2:14" ht="12.75">
      <c r="B148" s="9"/>
      <c r="C148" s="5"/>
      <c r="D148" s="5"/>
      <c r="L148" s="9"/>
      <c r="M148" s="5"/>
      <c r="N148" s="9"/>
    </row>
    <row r="149" spans="2:14" ht="12.75">
      <c r="B149" s="9"/>
      <c r="C149" s="5"/>
      <c r="D149" s="5"/>
      <c r="L149" s="9"/>
      <c r="M149" s="5"/>
      <c r="N149" s="9"/>
    </row>
    <row r="150" spans="2:14" ht="12.75">
      <c r="B150" s="9"/>
      <c r="C150" s="5"/>
      <c r="D150" s="5"/>
      <c r="H150" s="5"/>
      <c r="J150" s="5"/>
      <c r="L150" s="5"/>
      <c r="M150" s="5"/>
      <c r="N150" s="5"/>
    </row>
    <row r="151" spans="2:14" ht="12.75">
      <c r="B151" s="9"/>
      <c r="C151" s="5"/>
      <c r="D151" s="5"/>
      <c r="L151" s="9"/>
      <c r="M151" s="5"/>
      <c r="N151" s="9"/>
    </row>
    <row r="152" spans="2:14" ht="12.75">
      <c r="B152" s="9"/>
      <c r="C152" s="5"/>
      <c r="D152" s="5"/>
      <c r="H152" s="5"/>
      <c r="I152" s="5"/>
      <c r="J152" s="5"/>
      <c r="L152" s="5"/>
      <c r="M152" s="5"/>
      <c r="N152" s="5"/>
    </row>
    <row r="153" spans="2:14" ht="12.75">
      <c r="B153" s="9"/>
      <c r="C153" s="5"/>
      <c r="D153" s="5"/>
      <c r="H153" s="5"/>
      <c r="I153" s="5"/>
      <c r="J153" s="5"/>
      <c r="L153" s="5"/>
      <c r="M153" s="5"/>
      <c r="N153" s="5"/>
    </row>
    <row r="154" spans="2:14" ht="12.75">
      <c r="B154" s="9"/>
      <c r="C154" s="5"/>
      <c r="E154" s="172" t="s">
        <v>142</v>
      </c>
      <c r="F154" s="173" t="s">
        <v>224</v>
      </c>
      <c r="I154" s="5"/>
      <c r="L154" s="9"/>
      <c r="M154" s="5"/>
      <c r="N154" s="9"/>
    </row>
    <row r="155" spans="2:14" ht="12.75">
      <c r="B155" s="9"/>
      <c r="C155" s="5"/>
      <c r="D155" s="2"/>
      <c r="E155" s="172" t="s">
        <v>238</v>
      </c>
      <c r="F155" s="174" t="s">
        <v>239</v>
      </c>
      <c r="G155" s="129"/>
      <c r="L155" s="9"/>
      <c r="M155" s="5"/>
      <c r="N155" s="9"/>
    </row>
    <row r="156" spans="2:14" ht="12.75">
      <c r="B156" s="9"/>
      <c r="C156" s="5"/>
      <c r="D156" s="2"/>
      <c r="E156" s="172">
        <v>200</v>
      </c>
      <c r="F156" s="175" t="s">
        <v>315</v>
      </c>
      <c r="L156" s="9"/>
      <c r="M156" s="5"/>
      <c r="N156" s="9"/>
    </row>
    <row r="157" spans="2:14" ht="12.75">
      <c r="B157" s="9"/>
      <c r="C157" s="5"/>
      <c r="D157" s="134" t="s">
        <v>137</v>
      </c>
      <c r="E157" s="127">
        <v>59</v>
      </c>
      <c r="F157" s="193">
        <f aca="true" t="shared" si="22" ref="F157:F162">E157*100/$E$163</f>
        <v>4.259927797833935</v>
      </c>
      <c r="L157" s="9"/>
      <c r="M157" s="5"/>
      <c r="N157" s="9"/>
    </row>
    <row r="158" spans="2:14" ht="12.75">
      <c r="B158" s="9"/>
      <c r="C158" s="5"/>
      <c r="D158" s="134" t="s">
        <v>152</v>
      </c>
      <c r="E158" s="127">
        <v>92</v>
      </c>
      <c r="F158" s="193">
        <f t="shared" si="22"/>
        <v>6.64259927797834</v>
      </c>
      <c r="L158" s="9"/>
      <c r="M158" s="5"/>
      <c r="N158" s="9"/>
    </row>
    <row r="159" spans="2:14" ht="12.75">
      <c r="B159" s="9"/>
      <c r="C159" s="5"/>
      <c r="D159" s="134" t="s">
        <v>138</v>
      </c>
      <c r="E159" s="127">
        <v>806</v>
      </c>
      <c r="F159" s="193">
        <f t="shared" si="22"/>
        <v>58.194945848375454</v>
      </c>
      <c r="L159" s="9"/>
      <c r="M159" s="5"/>
      <c r="N159" s="9"/>
    </row>
    <row r="160" spans="2:14" ht="12.75">
      <c r="B160" s="9"/>
      <c r="C160" s="5"/>
      <c r="D160" s="134" t="s">
        <v>139</v>
      </c>
      <c r="E160" s="127">
        <v>70</v>
      </c>
      <c r="F160" s="193">
        <f t="shared" si="22"/>
        <v>5.054151624548736</v>
      </c>
      <c r="H160" s="5"/>
      <c r="J160" s="5"/>
      <c r="L160" s="5"/>
      <c r="M160" s="5"/>
      <c r="N160" s="5"/>
    </row>
    <row r="161" spans="2:14" ht="12.75">
      <c r="B161" s="9"/>
      <c r="C161" s="5"/>
      <c r="D161" s="134" t="s">
        <v>140</v>
      </c>
      <c r="E161" s="127">
        <v>45</v>
      </c>
      <c r="F161" s="193">
        <f t="shared" si="22"/>
        <v>3.2490974729241877</v>
      </c>
      <c r="L161" s="9"/>
      <c r="M161" s="5"/>
      <c r="N161" s="9"/>
    </row>
    <row r="162" spans="2:14" ht="12.75">
      <c r="B162" s="9"/>
      <c r="C162" s="5"/>
      <c r="D162" s="134" t="s">
        <v>141</v>
      </c>
      <c r="E162" s="127">
        <v>313</v>
      </c>
      <c r="F162" s="193">
        <f t="shared" si="22"/>
        <v>22.59927797833935</v>
      </c>
      <c r="L162" s="9"/>
      <c r="M162" s="5"/>
      <c r="N162" s="9"/>
    </row>
    <row r="163" spans="2:14" ht="12.75">
      <c r="B163" s="9"/>
      <c r="C163" s="5"/>
      <c r="D163" s="134"/>
      <c r="E163" s="135">
        <f>SUBTOTAL(9,E157:E162)</f>
        <v>1385</v>
      </c>
      <c r="F163" s="150">
        <f>SUM(F157:F162)</f>
        <v>100</v>
      </c>
      <c r="L163" s="9"/>
      <c r="M163" s="5"/>
      <c r="N163" s="9"/>
    </row>
    <row r="164" spans="2:14" ht="12.75">
      <c r="B164" s="9"/>
      <c r="C164" s="5"/>
      <c r="D164" s="5"/>
      <c r="L164" s="9"/>
      <c r="M164" s="5"/>
      <c r="N164" s="9"/>
    </row>
    <row r="165" spans="2:14" ht="12.75">
      <c r="B165" s="9"/>
      <c r="C165" s="5"/>
      <c r="D165" s="5"/>
      <c r="H165" s="5"/>
      <c r="J165" s="5"/>
      <c r="L165" s="5"/>
      <c r="M165" s="5">
        <f>11832+1972</f>
        <v>13804</v>
      </c>
      <c r="N165" s="5"/>
    </row>
    <row r="166" spans="2:14" ht="12.75">
      <c r="B166" s="9"/>
      <c r="C166" s="5"/>
      <c r="D166" s="5"/>
      <c r="H166" s="5"/>
      <c r="J166" s="5"/>
      <c r="L166" s="5"/>
      <c r="M166" s="5"/>
      <c r="N166" s="5"/>
    </row>
    <row r="167" spans="2:14" ht="12.75">
      <c r="B167" s="9"/>
      <c r="C167" s="5"/>
      <c r="D167" s="5"/>
      <c r="H167" s="5"/>
      <c r="J167" s="5"/>
      <c r="L167" s="5"/>
      <c r="M167" s="5"/>
      <c r="N167" s="5"/>
    </row>
    <row r="168" spans="2:14" ht="12.75">
      <c r="B168" s="9"/>
      <c r="C168" s="5"/>
      <c r="D168" s="5"/>
      <c r="H168" s="5"/>
      <c r="J168" s="5"/>
      <c r="L168" s="5"/>
      <c r="M168" s="5"/>
      <c r="N168" s="5"/>
    </row>
    <row r="169" spans="2:14" ht="12.75">
      <c r="B169" s="9"/>
      <c r="C169" s="5"/>
      <c r="D169" s="5"/>
      <c r="H169" s="5"/>
      <c r="J169" s="5"/>
      <c r="L169" s="5"/>
      <c r="M169" s="5"/>
      <c r="N169" s="5"/>
    </row>
    <row r="170" spans="2:14" ht="12.75">
      <c r="B170" s="9"/>
      <c r="L170" s="9"/>
      <c r="M170" s="5"/>
      <c r="N170" s="9"/>
    </row>
    <row r="171" spans="2:14" ht="12.75">
      <c r="B171" s="9"/>
      <c r="L171" s="9"/>
      <c r="M171" s="5"/>
      <c r="N171" s="9"/>
    </row>
    <row r="172" spans="2:14" ht="12.75">
      <c r="B172" s="9"/>
      <c r="L172" s="9"/>
      <c r="M172" s="5"/>
      <c r="N172" s="9"/>
    </row>
    <row r="173" spans="2:14" ht="12.75">
      <c r="B173" s="9"/>
      <c r="L173" s="9"/>
      <c r="M173" s="5"/>
      <c r="N173" s="9"/>
    </row>
    <row r="174" spans="2:14" ht="12.75">
      <c r="B174" s="9"/>
      <c r="C174" s="5"/>
      <c r="D174" s="5"/>
      <c r="F174" s="5"/>
      <c r="H174" s="5"/>
      <c r="J174" s="5"/>
      <c r="L174" s="5"/>
      <c r="M174" s="5"/>
      <c r="N174" s="5"/>
    </row>
    <row r="175" spans="2:14" ht="12.75">
      <c r="B175" s="9"/>
      <c r="C175" s="5"/>
      <c r="D175" s="5"/>
      <c r="L175" s="9"/>
      <c r="M175" s="5"/>
      <c r="N175" s="9"/>
    </row>
    <row r="176" spans="2:14" ht="12.75">
      <c r="B176" s="9"/>
      <c r="C176" s="5"/>
      <c r="D176" s="5"/>
      <c r="L176" s="9"/>
      <c r="M176" s="5"/>
      <c r="N176" s="9"/>
    </row>
    <row r="177" spans="2:14" ht="12.75">
      <c r="B177" s="9"/>
      <c r="C177" s="5"/>
      <c r="D177" s="5"/>
      <c r="E177" s="2"/>
      <c r="G177" s="5"/>
      <c r="L177" s="9"/>
      <c r="M177" s="5"/>
      <c r="N177" s="9"/>
    </row>
    <row r="178" spans="2:14" ht="12.75">
      <c r="B178" s="9"/>
      <c r="C178" s="5"/>
      <c r="D178" s="5"/>
      <c r="K178" s="149" t="s">
        <v>15</v>
      </c>
      <c r="L178" s="9"/>
      <c r="M178" s="5"/>
      <c r="N178" s="9"/>
    </row>
    <row r="179" spans="2:14" ht="12.75">
      <c r="B179" s="9"/>
      <c r="C179" s="5"/>
      <c r="D179" s="5"/>
      <c r="H179" s="5"/>
      <c r="J179" s="5"/>
      <c r="L179" s="5"/>
      <c r="M179" s="5"/>
      <c r="N179" s="5"/>
    </row>
    <row r="180" spans="2:14" ht="12.75">
      <c r="B180" s="9"/>
      <c r="C180" s="5"/>
      <c r="D180" s="5"/>
      <c r="H180" s="5"/>
      <c r="J180" s="5"/>
      <c r="L180" s="5"/>
      <c r="M180" s="5"/>
      <c r="N180" s="5"/>
    </row>
    <row r="181" spans="2:14" ht="12.75">
      <c r="B181" s="9"/>
      <c r="C181" s="5"/>
      <c r="D181" s="5"/>
      <c r="L181" s="9"/>
      <c r="M181" s="5"/>
      <c r="N181" s="9"/>
    </row>
    <row r="182" spans="2:14" ht="12.75">
      <c r="B182" s="9"/>
      <c r="C182" s="5"/>
      <c r="D182" s="5"/>
      <c r="L182" s="9"/>
      <c r="M182" s="5"/>
      <c r="N182" s="9"/>
    </row>
    <row r="183" spans="2:14" ht="12.75">
      <c r="B183" s="9"/>
      <c r="C183" s="5"/>
      <c r="D183" s="5"/>
      <c r="L183" s="9"/>
      <c r="M183" s="5"/>
      <c r="N183" s="9"/>
    </row>
    <row r="184" spans="2:14" ht="12.75">
      <c r="B184" s="9"/>
      <c r="C184" s="5"/>
      <c r="D184" s="5"/>
      <c r="L184" s="9"/>
      <c r="M184" s="5"/>
      <c r="N184" s="9"/>
    </row>
    <row r="185" spans="2:14" ht="12.75">
      <c r="B185" s="9"/>
      <c r="L185" s="9"/>
      <c r="M185" s="5"/>
      <c r="N185" s="9"/>
    </row>
    <row r="186" spans="2:14" ht="12.75">
      <c r="B186" s="9"/>
      <c r="C186" s="5"/>
      <c r="D186" s="5"/>
      <c r="L186" s="9"/>
      <c r="M186" s="5"/>
      <c r="N186" s="9"/>
    </row>
    <row r="187" spans="2:14" ht="12.75">
      <c r="B187" s="9"/>
      <c r="C187" s="5"/>
      <c r="D187" s="5"/>
      <c r="L187" s="9"/>
      <c r="M187" s="5"/>
      <c r="N187" s="9"/>
    </row>
    <row r="188" spans="2:14" ht="12.75">
      <c r="B188" s="9"/>
      <c r="C188" s="5"/>
      <c r="D188" s="5"/>
      <c r="L188" s="9"/>
      <c r="M188" s="5"/>
      <c r="N188" s="9"/>
    </row>
    <row r="189" spans="2:14" ht="12.75">
      <c r="B189" s="9"/>
      <c r="C189" s="5"/>
      <c r="D189" s="5"/>
      <c r="L189" s="9"/>
      <c r="M189" s="5"/>
      <c r="N189" s="9"/>
    </row>
    <row r="190" spans="2:14" ht="12.75">
      <c r="B190" s="9"/>
      <c r="C190" s="5"/>
      <c r="D190" s="5"/>
      <c r="L190" s="9"/>
      <c r="M190" s="5"/>
      <c r="N190" s="9"/>
    </row>
    <row r="191" spans="2:14" ht="12.75">
      <c r="B191" s="9"/>
      <c r="C191" s="5"/>
      <c r="D191" s="5"/>
      <c r="L191" s="9"/>
      <c r="M191" s="5"/>
      <c r="N191" s="9"/>
    </row>
    <row r="192" spans="2:14" ht="12.75">
      <c r="B192" s="9"/>
      <c r="C192" s="5"/>
      <c r="D192" s="5"/>
      <c r="H192" s="2"/>
      <c r="I192" s="44"/>
      <c r="L192" s="9"/>
      <c r="M192" s="5"/>
      <c r="N192" s="9"/>
    </row>
    <row r="193" spans="2:14" ht="12.75">
      <c r="B193" s="9"/>
      <c r="C193" s="9"/>
      <c r="D193" s="9"/>
      <c r="H193" s="44"/>
      <c r="I193" s="44"/>
      <c r="L193" s="9"/>
      <c r="M193" s="5"/>
      <c r="N193" s="9"/>
    </row>
    <row r="194" spans="2:14" ht="12.75">
      <c r="B194" s="9"/>
      <c r="C194" s="5"/>
      <c r="D194" s="5"/>
      <c r="H194" s="44"/>
      <c r="I194" s="44"/>
      <c r="L194" s="9"/>
      <c r="M194" s="5"/>
      <c r="N194" s="9"/>
    </row>
    <row r="195" spans="2:14" ht="12.75">
      <c r="B195" s="9"/>
      <c r="C195" s="5"/>
      <c r="D195" s="5"/>
      <c r="H195" s="10"/>
      <c r="I195" s="2"/>
      <c r="L195" s="9"/>
      <c r="M195" s="5"/>
      <c r="N195" s="9"/>
    </row>
    <row r="196" spans="2:14" ht="12.75">
      <c r="B196" s="9"/>
      <c r="C196" s="5"/>
      <c r="D196" s="5"/>
      <c r="L196" s="9"/>
      <c r="M196" s="5"/>
      <c r="N196" s="9"/>
    </row>
    <row r="197" spans="2:14" ht="12.75">
      <c r="B197" s="9"/>
      <c r="L197" s="9"/>
      <c r="M197" s="5"/>
      <c r="N197" s="9"/>
    </row>
    <row r="198" spans="2:14" ht="12.75">
      <c r="B198" s="9"/>
      <c r="C198" s="5"/>
      <c r="D198" s="5"/>
      <c r="L198" s="9"/>
      <c r="M198" s="5"/>
      <c r="N198" s="9"/>
    </row>
    <row r="199" spans="2:13" ht="12.75">
      <c r="B199" s="9"/>
      <c r="C199" s="5"/>
      <c r="D199" s="5"/>
      <c r="L199" s="9"/>
      <c r="M199" s="5"/>
    </row>
    <row r="200" spans="2:13" ht="12.75">
      <c r="B200" s="9"/>
      <c r="C200" s="5"/>
      <c r="D200" s="5"/>
      <c r="L200" s="9"/>
      <c r="M200" s="5"/>
    </row>
    <row r="201" spans="12:13" ht="12.75">
      <c r="L201" s="9"/>
      <c r="M201" s="5"/>
    </row>
    <row r="202" spans="2:4" ht="12.75">
      <c r="B202" s="9"/>
      <c r="C202" s="5"/>
      <c r="D202" s="5"/>
    </row>
    <row r="203" spans="2:4" ht="12.75">
      <c r="B203" s="9"/>
      <c r="C203" s="5"/>
      <c r="D203" s="5"/>
    </row>
    <row r="204" spans="2:4" ht="12.75">
      <c r="B204" s="9"/>
      <c r="C204" s="5"/>
      <c r="D204" s="5"/>
    </row>
    <row r="205" spans="2:4" ht="12.75">
      <c r="B205" s="9"/>
      <c r="C205" s="5"/>
      <c r="D205" s="5"/>
    </row>
    <row r="206" spans="2:4" ht="12.75">
      <c r="B206" s="9"/>
      <c r="C206" s="5"/>
      <c r="D206" s="5"/>
    </row>
    <row r="207" spans="2:4" ht="12.75">
      <c r="B207" s="9"/>
      <c r="C207" s="5"/>
      <c r="D207" s="5"/>
    </row>
    <row r="208" spans="2:4" ht="12.75">
      <c r="B208" s="9"/>
      <c r="C208" s="5"/>
      <c r="D208" s="5"/>
    </row>
    <row r="209" spans="2:4" ht="12.75">
      <c r="B209" s="9"/>
      <c r="C209" s="5"/>
      <c r="D209" s="5"/>
    </row>
    <row r="210" spans="2:4" ht="12.75">
      <c r="B210" s="9"/>
      <c r="C210" s="5"/>
      <c r="D210" s="5"/>
    </row>
    <row r="211" spans="2:4" ht="12.75">
      <c r="B211" s="9"/>
      <c r="C211" s="5"/>
      <c r="D211" s="5"/>
    </row>
    <row r="212" spans="2:4" ht="12.75">
      <c r="B212" s="9"/>
      <c r="C212" s="5"/>
      <c r="D212" s="5"/>
    </row>
    <row r="213" spans="2:4" ht="12.75">
      <c r="B213" s="9"/>
      <c r="C213" s="5"/>
      <c r="D213" s="5"/>
    </row>
    <row r="214" spans="2:4" ht="12.75">
      <c r="B214" s="9"/>
      <c r="C214" s="5"/>
      <c r="D214" s="5"/>
    </row>
    <row r="215" spans="2:4" ht="12.75">
      <c r="B215" s="9"/>
      <c r="C215" s="5"/>
      <c r="D215" s="5"/>
    </row>
    <row r="216" spans="2:4" ht="12.75">
      <c r="B216" s="9"/>
      <c r="C216" s="5"/>
      <c r="D216" s="5"/>
    </row>
    <row r="217" spans="2:4" ht="12.75">
      <c r="B217" s="9"/>
      <c r="C217" s="5"/>
      <c r="D217" s="5"/>
    </row>
    <row r="218" spans="2:4" ht="12.75">
      <c r="B218" s="9"/>
      <c r="C218" s="5"/>
      <c r="D218" s="5"/>
    </row>
    <row r="219" spans="2:4" ht="12.75">
      <c r="B219" s="9"/>
      <c r="C219" s="5"/>
      <c r="D219" s="5"/>
    </row>
    <row r="220" spans="2:4" ht="12.75">
      <c r="B220" s="9"/>
      <c r="C220" s="5"/>
      <c r="D220" s="5"/>
    </row>
    <row r="221" spans="2:4" ht="12.75">
      <c r="B221" s="9"/>
      <c r="C221" s="5"/>
      <c r="D221" s="5"/>
    </row>
    <row r="222" spans="2:4" ht="12.75">
      <c r="B222" s="9"/>
      <c r="C222" s="5"/>
      <c r="D222" s="5"/>
    </row>
    <row r="223" spans="2:4" ht="12.75">
      <c r="B223" s="9"/>
      <c r="C223" s="5"/>
      <c r="D223" s="5"/>
    </row>
    <row r="229" ht="12.75">
      <c r="K229" s="189"/>
    </row>
    <row r="231" spans="3:4" ht="12.75">
      <c r="C231" s="9"/>
      <c r="D231" s="9"/>
    </row>
    <row r="233" spans="2:7" ht="12.75">
      <c r="B233" s="47"/>
      <c r="C233" s="47"/>
      <c r="D233" s="47"/>
      <c r="E233" s="4"/>
      <c r="F233" s="4"/>
      <c r="G233" s="4"/>
    </row>
    <row r="235" spans="2:8" ht="12.75">
      <c r="B235" s="65"/>
      <c r="C235" s="65"/>
      <c r="D235" s="65"/>
      <c r="E235" s="64"/>
      <c r="F235" s="64"/>
      <c r="G235" s="64"/>
      <c r="H235" s="64"/>
    </row>
    <row r="236" ht="12.75">
      <c r="G236" s="6"/>
    </row>
  </sheetData>
  <sheetProtection/>
  <printOptions/>
  <pageMargins left="0.24" right="0.46" top="0.21" bottom="0.21" header="0.14" footer="0.1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U238"/>
  <sheetViews>
    <sheetView zoomScale="75" zoomScaleNormal="75" zoomScalePageLayoutView="0" workbookViewId="0" topLeftCell="A1">
      <pane xSplit="2" ySplit="5" topLeftCell="C1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26.8515625" defaultRowHeight="12.75"/>
  <cols>
    <col min="1" max="1" width="33.8515625" style="149" customWidth="1"/>
    <col min="2" max="2" width="8.57421875" style="123" customWidth="1"/>
    <col min="3" max="72" width="11.57421875" style="123" customWidth="1"/>
    <col min="73" max="73" width="11.57421875" style="170" customWidth="1"/>
    <col min="74" max="103" width="11.57421875" style="123" customWidth="1"/>
    <col min="104" max="104" width="11.57421875" style="149" customWidth="1"/>
    <col min="105" max="105" width="2.57421875" style="149" customWidth="1"/>
    <col min="106" max="107" width="9.7109375" style="149" customWidth="1"/>
    <col min="108" max="108" width="8.8515625" style="149" customWidth="1"/>
    <col min="109" max="109" width="8.7109375" style="149" bestFit="1" customWidth="1"/>
    <col min="110" max="110" width="9.57421875" style="149" customWidth="1"/>
    <col min="111" max="112" width="8.140625" style="149" customWidth="1"/>
    <col min="113" max="113" width="7.28125" style="149" bestFit="1" customWidth="1"/>
    <col min="114" max="114" width="6.421875" style="149" bestFit="1" customWidth="1"/>
    <col min="115" max="115" width="8.28125" style="149" bestFit="1" customWidth="1"/>
    <col min="116" max="116" width="7.7109375" style="149" bestFit="1" customWidth="1"/>
    <col min="117" max="117" width="8.7109375" style="149" bestFit="1" customWidth="1"/>
    <col min="118" max="118" width="8.7109375" style="149" customWidth="1"/>
    <col min="119" max="119" width="8.140625" style="149" customWidth="1"/>
    <col min="120" max="120" width="9.140625" style="149" customWidth="1"/>
    <col min="121" max="121" width="9.28125" style="149" bestFit="1" customWidth="1"/>
    <col min="122" max="123" width="8.421875" style="149" customWidth="1"/>
    <col min="124" max="124" width="9.57421875" style="149" bestFit="1" customWidth="1"/>
    <col min="125" max="127" width="10.00390625" style="149" customWidth="1"/>
    <col min="128" max="128" width="10.28125" style="149" bestFit="1" customWidth="1"/>
    <col min="129" max="129" width="9.28125" style="149" bestFit="1" customWidth="1"/>
    <col min="130" max="130" width="10.00390625" style="149" customWidth="1"/>
    <col min="131" max="131" width="9.57421875" style="149" bestFit="1" customWidth="1"/>
    <col min="132" max="132" width="8.421875" style="149" customWidth="1"/>
    <col min="133" max="133" width="10.28125" style="149" bestFit="1" customWidth="1"/>
    <col min="134" max="135" width="8.8515625" style="149" bestFit="1" customWidth="1"/>
    <col min="136" max="136" width="10.00390625" style="149" customWidth="1"/>
    <col min="137" max="137" width="9.140625" style="149" customWidth="1"/>
    <col min="138" max="138" width="10.00390625" style="149" customWidth="1"/>
    <col min="139" max="139" width="12.421875" style="149" customWidth="1"/>
    <col min="140" max="140" width="11.421875" style="149" customWidth="1"/>
    <col min="141" max="142" width="11.7109375" style="149" customWidth="1"/>
    <col min="143" max="143" width="8.7109375" style="149" customWidth="1"/>
    <col min="144" max="144" width="9.421875" style="149" customWidth="1"/>
    <col min="145" max="145" width="9.00390625" style="149" customWidth="1"/>
    <col min="146" max="146" width="9.8515625" style="149" bestFit="1" customWidth="1"/>
    <col min="147" max="147" width="10.7109375" style="149" bestFit="1" customWidth="1"/>
    <col min="148" max="148" width="9.57421875" style="149" bestFit="1" customWidth="1"/>
    <col min="149" max="149" width="7.140625" style="149" bestFit="1" customWidth="1"/>
    <col min="150" max="150" width="7.7109375" style="149" bestFit="1" customWidth="1"/>
    <col min="151" max="151" width="14.140625" style="149" customWidth="1"/>
    <col min="152" max="152" width="9.00390625" style="149" bestFit="1" customWidth="1"/>
    <col min="153" max="16384" width="26.8515625" style="149" customWidth="1"/>
  </cols>
  <sheetData>
    <row r="1" spans="1:150" ht="18">
      <c r="A1" s="116" t="s">
        <v>296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284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</row>
    <row r="2" spans="105:150" ht="12.75"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</row>
    <row r="3" spans="1:150" ht="15.75">
      <c r="A3" s="149" t="s">
        <v>121</v>
      </c>
      <c r="B3" s="132" t="s">
        <v>122</v>
      </c>
      <c r="C3" s="123" t="s">
        <v>796</v>
      </c>
      <c r="D3" s="123" t="s">
        <v>797</v>
      </c>
      <c r="E3" s="123" t="s">
        <v>324</v>
      </c>
      <c r="F3" s="123" t="s">
        <v>393</v>
      </c>
      <c r="G3" s="123" t="s">
        <v>393</v>
      </c>
      <c r="H3" s="123" t="s">
        <v>364</v>
      </c>
      <c r="I3" s="123" t="s">
        <v>364</v>
      </c>
      <c r="J3" s="123" t="s">
        <v>393</v>
      </c>
      <c r="K3" s="123" t="s">
        <v>311</v>
      </c>
      <c r="L3" s="123" t="s">
        <v>311</v>
      </c>
      <c r="M3" s="123" t="s">
        <v>324</v>
      </c>
      <c r="N3" s="123" t="s">
        <v>393</v>
      </c>
      <c r="O3" s="123" t="s">
        <v>341</v>
      </c>
      <c r="P3" s="123" t="s">
        <v>382</v>
      </c>
      <c r="Q3" s="123" t="s">
        <v>393</v>
      </c>
      <c r="R3" s="123" t="s">
        <v>351</v>
      </c>
      <c r="S3" s="123" t="s">
        <v>345</v>
      </c>
      <c r="T3" s="123" t="s">
        <v>462</v>
      </c>
      <c r="U3" s="123" t="s">
        <v>465</v>
      </c>
      <c r="V3" s="123" t="s">
        <v>471</v>
      </c>
      <c r="W3" s="123" t="s">
        <v>502</v>
      </c>
      <c r="X3" s="123" t="s">
        <v>494</v>
      </c>
      <c r="Y3" s="123" t="s">
        <v>507</v>
      </c>
      <c r="Z3" s="123" t="s">
        <v>477</v>
      </c>
      <c r="AA3" s="123" t="s">
        <v>835</v>
      </c>
      <c r="AB3" s="123" t="s">
        <v>474</v>
      </c>
      <c r="AC3" s="123" t="s">
        <v>480</v>
      </c>
      <c r="AD3" s="123" t="s">
        <v>516</v>
      </c>
      <c r="AE3" s="123" t="s">
        <v>521</v>
      </c>
      <c r="AF3" s="123" t="s">
        <v>517</v>
      </c>
      <c r="AG3" s="123" t="s">
        <v>516</v>
      </c>
      <c r="AH3" s="123" t="s">
        <v>585</v>
      </c>
      <c r="AI3" s="123" t="s">
        <v>679</v>
      </c>
      <c r="AJ3" s="123" t="s">
        <v>683</v>
      </c>
      <c r="AK3" s="123" t="s">
        <v>589</v>
      </c>
      <c r="AL3" s="123" t="s">
        <v>590</v>
      </c>
      <c r="AM3" s="123" t="s">
        <v>679</v>
      </c>
      <c r="AN3" s="123" t="s">
        <v>603</v>
      </c>
      <c r="AO3" s="123" t="s">
        <v>605</v>
      </c>
      <c r="AP3" s="123" t="s">
        <v>603</v>
      </c>
      <c r="AQ3" s="123" t="s">
        <v>608</v>
      </c>
      <c r="AR3" s="123" t="s">
        <v>603</v>
      </c>
      <c r="AS3" s="123" t="s">
        <v>612</v>
      </c>
      <c r="AT3" s="123" t="s">
        <v>646</v>
      </c>
      <c r="AU3" s="123" t="s">
        <v>896</v>
      </c>
      <c r="AV3" s="123" t="s">
        <v>619</v>
      </c>
      <c r="AW3" s="123" t="s">
        <v>535</v>
      </c>
      <c r="AX3" s="123" t="s">
        <v>747</v>
      </c>
      <c r="AY3" s="123" t="s">
        <v>618</v>
      </c>
      <c r="AZ3" s="123" t="s">
        <v>653</v>
      </c>
      <c r="BA3" s="123" t="s">
        <v>959</v>
      </c>
      <c r="BB3" s="123" t="s">
        <v>667</v>
      </c>
      <c r="BC3" s="123" t="s">
        <v>709</v>
      </c>
      <c r="BD3" s="123" t="s">
        <v>710</v>
      </c>
      <c r="BE3" s="123" t="s">
        <v>669</v>
      </c>
      <c r="BF3" s="123" t="s">
        <v>673</v>
      </c>
      <c r="BG3" s="123" t="s">
        <v>673</v>
      </c>
      <c r="BH3" s="123" t="s">
        <v>673</v>
      </c>
      <c r="BI3" s="123" t="s">
        <v>631</v>
      </c>
      <c r="BJ3" s="123" t="s">
        <v>689</v>
      </c>
      <c r="BK3" s="123" t="s">
        <v>695</v>
      </c>
      <c r="BL3" s="123" t="s">
        <v>695</v>
      </c>
      <c r="BM3" s="123" t="s">
        <v>700</v>
      </c>
      <c r="BN3" s="123" t="s">
        <v>690</v>
      </c>
      <c r="BO3" s="123" t="s">
        <v>691</v>
      </c>
      <c r="BP3" s="123" t="s">
        <v>736</v>
      </c>
      <c r="BQ3" s="123" t="s">
        <v>739</v>
      </c>
      <c r="BR3" s="123" t="s">
        <v>725</v>
      </c>
      <c r="BS3" s="123" t="s">
        <v>822</v>
      </c>
      <c r="BT3" s="123" t="s">
        <v>701</v>
      </c>
      <c r="BU3" s="170" t="s">
        <v>809</v>
      </c>
      <c r="BV3" s="123" t="s">
        <v>868</v>
      </c>
      <c r="BW3" s="123" t="s">
        <v>831</v>
      </c>
      <c r="BX3" s="123" t="s">
        <v>802</v>
      </c>
      <c r="BY3" s="123" t="s">
        <v>803</v>
      </c>
      <c r="BZ3" s="123" t="s">
        <v>848</v>
      </c>
      <c r="CA3" s="123" t="s">
        <v>848</v>
      </c>
      <c r="CB3" s="123" t="s">
        <v>889</v>
      </c>
      <c r="CC3" s="123" t="s">
        <v>889</v>
      </c>
      <c r="CD3" s="123" t="s">
        <v>871</v>
      </c>
      <c r="CE3" s="123" t="s">
        <v>826</v>
      </c>
      <c r="CF3" s="123" t="s">
        <v>861</v>
      </c>
      <c r="CG3" s="123" t="s">
        <v>979</v>
      </c>
      <c r="CH3" s="123" t="s">
        <v>859</v>
      </c>
      <c r="CI3" s="123" t="s">
        <v>925</v>
      </c>
      <c r="CJ3" s="123" t="s">
        <v>1016</v>
      </c>
      <c r="CK3" s="123" t="s">
        <v>933</v>
      </c>
      <c r="CL3" s="123" t="s">
        <v>934</v>
      </c>
      <c r="CM3" s="123" t="s">
        <v>1065</v>
      </c>
      <c r="CN3" s="123" t="s">
        <v>920</v>
      </c>
      <c r="CO3" s="123" t="s">
        <v>921</v>
      </c>
      <c r="CP3" s="123" t="s">
        <v>956</v>
      </c>
      <c r="CQ3" s="123" t="s">
        <v>1041</v>
      </c>
      <c r="CR3" s="123" t="s">
        <v>951</v>
      </c>
      <c r="CS3" s="123" t="s">
        <v>1017</v>
      </c>
      <c r="CT3" s="123" t="s">
        <v>974</v>
      </c>
      <c r="CU3" s="123" t="s">
        <v>987</v>
      </c>
      <c r="CV3" s="123" t="s">
        <v>1022</v>
      </c>
      <c r="CW3" s="123" t="s">
        <v>988</v>
      </c>
      <c r="CX3" s="123" t="s">
        <v>1040</v>
      </c>
      <c r="CY3" s="132"/>
      <c r="CZ3" s="123" t="s">
        <v>125</v>
      </c>
      <c r="DA3" s="202"/>
      <c r="DB3" s="202"/>
      <c r="DC3" s="202"/>
      <c r="DD3" s="123"/>
      <c r="DE3" s="123"/>
      <c r="DF3" s="123"/>
      <c r="DG3" s="123"/>
      <c r="DH3" s="123"/>
      <c r="DI3" s="123"/>
      <c r="DJ3" s="123"/>
      <c r="DK3" s="203"/>
      <c r="DL3" s="203"/>
      <c r="DM3" s="203"/>
      <c r="DN3" s="203"/>
      <c r="DO3" s="202"/>
      <c r="DP3" s="203"/>
      <c r="DQ3" s="203"/>
      <c r="DR3" s="123"/>
      <c r="DS3" s="123"/>
      <c r="DT3" s="123"/>
      <c r="DU3" s="123"/>
      <c r="DV3" s="123"/>
      <c r="DW3" s="123"/>
      <c r="DX3" s="123"/>
      <c r="DY3" s="123"/>
      <c r="DZ3" s="123"/>
      <c r="EB3" s="123"/>
      <c r="EC3" s="123"/>
      <c r="ED3" s="123"/>
      <c r="EE3" s="123"/>
      <c r="EF3" s="123"/>
      <c r="EG3" s="123"/>
      <c r="EH3" s="123"/>
      <c r="EI3" s="123"/>
      <c r="EJ3" s="188"/>
      <c r="EK3" s="188"/>
      <c r="EL3" s="188"/>
      <c r="EM3" s="123"/>
      <c r="EN3" s="123"/>
      <c r="EO3" s="203"/>
      <c r="EP3" s="123"/>
      <c r="EQ3" s="123"/>
      <c r="ER3" s="123"/>
      <c r="ES3" s="123"/>
      <c r="ET3" s="123"/>
    </row>
    <row r="4" spans="1:150" ht="12.75">
      <c r="A4" s="257"/>
      <c r="B4" s="214"/>
      <c r="C4" s="214" t="s">
        <v>620</v>
      </c>
      <c r="D4" s="214" t="s">
        <v>798</v>
      </c>
      <c r="E4" s="214">
        <v>2009</v>
      </c>
      <c r="F4" s="214" t="s">
        <v>398</v>
      </c>
      <c r="G4" s="214" t="s">
        <v>395</v>
      </c>
      <c r="H4" s="214" t="s">
        <v>365</v>
      </c>
      <c r="I4" s="214" t="s">
        <v>365</v>
      </c>
      <c r="J4" s="214" t="s">
        <v>397</v>
      </c>
      <c r="K4" s="214" t="s">
        <v>360</v>
      </c>
      <c r="L4" s="214" t="s">
        <v>312</v>
      </c>
      <c r="M4" s="214">
        <v>2010</v>
      </c>
      <c r="N4" s="214" t="s">
        <v>394</v>
      </c>
      <c r="O4" s="214" t="s">
        <v>342</v>
      </c>
      <c r="P4" s="214" t="s">
        <v>383</v>
      </c>
      <c r="Q4" s="214" t="s">
        <v>396</v>
      </c>
      <c r="R4" s="214" t="s">
        <v>346</v>
      </c>
      <c r="S4" s="214" t="s">
        <v>346</v>
      </c>
      <c r="T4" s="214" t="s">
        <v>463</v>
      </c>
      <c r="U4" s="214" t="s">
        <v>466</v>
      </c>
      <c r="V4" s="214" t="s">
        <v>472</v>
      </c>
      <c r="W4" s="214" t="s">
        <v>503</v>
      </c>
      <c r="X4" s="214" t="s">
        <v>495</v>
      </c>
      <c r="Y4" s="214" t="s">
        <v>508</v>
      </c>
      <c r="Z4" s="214" t="s">
        <v>475</v>
      </c>
      <c r="AA4" s="214"/>
      <c r="AB4" s="214" t="s">
        <v>475</v>
      </c>
      <c r="AC4" s="214" t="s">
        <v>475</v>
      </c>
      <c r="AD4" s="214"/>
      <c r="AE4" s="214" t="s">
        <v>475</v>
      </c>
      <c r="AF4" s="214" t="s">
        <v>518</v>
      </c>
      <c r="AG4" s="214"/>
      <c r="AH4" s="214"/>
      <c r="AI4" s="214"/>
      <c r="AJ4" s="214" t="s">
        <v>684</v>
      </c>
      <c r="AK4" s="214"/>
      <c r="AL4" s="214" t="s">
        <v>591</v>
      </c>
      <c r="AM4" s="214"/>
      <c r="AN4" s="214" t="s">
        <v>604</v>
      </c>
      <c r="AO4" s="214"/>
      <c r="AP4" s="214" t="s">
        <v>604</v>
      </c>
      <c r="AQ4" s="214"/>
      <c r="AR4" s="214" t="s">
        <v>604</v>
      </c>
      <c r="AS4" s="214"/>
      <c r="AT4" s="214" t="s">
        <v>647</v>
      </c>
      <c r="AU4" s="214" t="s">
        <v>897</v>
      </c>
      <c r="AV4" s="214" t="s">
        <v>620</v>
      </c>
      <c r="AW4" s="214" t="s">
        <v>29</v>
      </c>
      <c r="AX4" s="214"/>
      <c r="AY4" s="214" t="s">
        <v>475</v>
      </c>
      <c r="AZ4" s="214" t="s">
        <v>472</v>
      </c>
      <c r="BA4" s="214"/>
      <c r="BB4" s="214" t="s">
        <v>475</v>
      </c>
      <c r="BC4" s="214" t="s">
        <v>472</v>
      </c>
      <c r="BD4" s="214"/>
      <c r="BE4" s="214" t="s">
        <v>475</v>
      </c>
      <c r="BF4" s="214"/>
      <c r="BG4" s="214"/>
      <c r="BH4" s="214" t="s">
        <v>674</v>
      </c>
      <c r="BI4" s="214" t="s">
        <v>632</v>
      </c>
      <c r="BJ4" s="214"/>
      <c r="BK4" s="214" t="s">
        <v>472</v>
      </c>
      <c r="BL4" s="214" t="s">
        <v>696</v>
      </c>
      <c r="BM4" s="214" t="s">
        <v>696</v>
      </c>
      <c r="BN4" s="214"/>
      <c r="BO4" s="214"/>
      <c r="BP4" s="214" t="s">
        <v>737</v>
      </c>
      <c r="BQ4" s="214" t="s">
        <v>740</v>
      </c>
      <c r="BR4" s="214"/>
      <c r="BS4" s="214" t="s">
        <v>823</v>
      </c>
      <c r="BT4" s="214" t="s">
        <v>702</v>
      </c>
      <c r="BU4" s="285" t="s">
        <v>810</v>
      </c>
      <c r="BV4" s="214" t="s">
        <v>869</v>
      </c>
      <c r="BW4" s="214" t="s">
        <v>832</v>
      </c>
      <c r="BX4" s="214" t="s">
        <v>798</v>
      </c>
      <c r="BY4" s="214" t="s">
        <v>696</v>
      </c>
      <c r="BZ4" s="214" t="s">
        <v>849</v>
      </c>
      <c r="CA4" s="214" t="s">
        <v>849</v>
      </c>
      <c r="CB4" s="214" t="s">
        <v>1044</v>
      </c>
      <c r="CC4" s="214" t="s">
        <v>1043</v>
      </c>
      <c r="CD4" s="214" t="s">
        <v>475</v>
      </c>
      <c r="CE4" s="214" t="s">
        <v>827</v>
      </c>
      <c r="CF4" s="214" t="s">
        <v>862</v>
      </c>
      <c r="CG4" s="214" t="s">
        <v>980</v>
      </c>
      <c r="CH4" s="214" t="s">
        <v>860</v>
      </c>
      <c r="CI4" s="214" t="s">
        <v>926</v>
      </c>
      <c r="CJ4" s="214"/>
      <c r="CK4" s="214"/>
      <c r="CL4" s="214"/>
      <c r="CM4" s="214" t="s">
        <v>1066</v>
      </c>
      <c r="CN4" s="214"/>
      <c r="CO4" s="214"/>
      <c r="CP4" s="214"/>
      <c r="CQ4" s="214"/>
      <c r="CR4" s="214" t="s">
        <v>952</v>
      </c>
      <c r="CS4" s="214"/>
      <c r="CT4" s="214" t="s">
        <v>975</v>
      </c>
      <c r="CU4" s="214"/>
      <c r="CV4" s="214" t="s">
        <v>1023</v>
      </c>
      <c r="CW4" s="214"/>
      <c r="CX4" s="214"/>
      <c r="CY4" s="214"/>
      <c r="CZ4" s="202" t="s">
        <v>126</v>
      </c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3"/>
      <c r="DL4" s="203"/>
      <c r="DM4" s="203"/>
      <c r="DN4" s="203"/>
      <c r="DO4" s="203"/>
      <c r="DP4" s="203"/>
      <c r="DQ4" s="203"/>
      <c r="DR4" s="202"/>
      <c r="DS4" s="203"/>
      <c r="DT4" s="202"/>
      <c r="DU4" s="202"/>
      <c r="DV4" s="202"/>
      <c r="DW4" s="202"/>
      <c r="DX4" s="202"/>
      <c r="DY4" s="202"/>
      <c r="DZ4" s="202"/>
      <c r="EA4" s="204"/>
      <c r="EB4" s="203"/>
      <c r="EC4" s="202"/>
      <c r="ED4" s="203"/>
      <c r="EE4" s="203"/>
      <c r="EF4" s="123"/>
      <c r="EG4" s="203"/>
      <c r="EH4" s="203"/>
      <c r="EI4" s="203"/>
      <c r="EJ4" s="202"/>
      <c r="EK4" s="202"/>
      <c r="EL4" s="202"/>
      <c r="EM4" s="203"/>
      <c r="EN4" s="203"/>
      <c r="EO4" s="203"/>
      <c r="EP4" s="203"/>
      <c r="EQ4" s="203"/>
      <c r="ER4" s="203"/>
      <c r="ES4" s="203"/>
      <c r="ET4" s="203"/>
    </row>
    <row r="5" spans="3:150" ht="12.75">
      <c r="C5" s="194">
        <v>39222</v>
      </c>
      <c r="D5" s="194">
        <v>39333</v>
      </c>
      <c r="E5" s="194" t="s">
        <v>329</v>
      </c>
      <c r="F5" s="194">
        <v>40128</v>
      </c>
      <c r="G5" s="194">
        <v>40135</v>
      </c>
      <c r="H5" s="194">
        <v>40159</v>
      </c>
      <c r="I5" s="194">
        <v>40160</v>
      </c>
      <c r="J5" s="194">
        <v>40163</v>
      </c>
      <c r="K5" s="194">
        <v>40174</v>
      </c>
      <c r="L5" s="194">
        <v>40180</v>
      </c>
      <c r="M5" s="194" t="s">
        <v>325</v>
      </c>
      <c r="N5" s="194">
        <v>40191</v>
      </c>
      <c r="O5" s="194" t="s">
        <v>343</v>
      </c>
      <c r="P5" s="194" t="s">
        <v>384</v>
      </c>
      <c r="Q5" s="194">
        <v>40240</v>
      </c>
      <c r="R5" s="194" t="s">
        <v>357</v>
      </c>
      <c r="S5" s="194" t="s">
        <v>358</v>
      </c>
      <c r="T5" s="194">
        <v>40275</v>
      </c>
      <c r="U5" s="194">
        <v>40277</v>
      </c>
      <c r="V5" s="194">
        <v>40278</v>
      </c>
      <c r="W5" s="194">
        <v>40285</v>
      </c>
      <c r="X5" s="194">
        <v>40286</v>
      </c>
      <c r="Y5" s="194">
        <v>40292</v>
      </c>
      <c r="Z5" s="194">
        <v>40293</v>
      </c>
      <c r="AA5" s="241">
        <v>2010</v>
      </c>
      <c r="AB5" s="194">
        <v>40299</v>
      </c>
      <c r="AC5" s="194">
        <v>40300</v>
      </c>
      <c r="AD5" s="194">
        <v>40306</v>
      </c>
      <c r="AE5" s="194">
        <v>40306</v>
      </c>
      <c r="AF5" s="194">
        <v>40307</v>
      </c>
      <c r="AG5" s="194">
        <v>40307</v>
      </c>
      <c r="AH5" s="194">
        <v>40311</v>
      </c>
      <c r="AI5" s="194">
        <v>40313</v>
      </c>
      <c r="AJ5" s="194">
        <v>40313</v>
      </c>
      <c r="AK5" s="194">
        <v>40313</v>
      </c>
      <c r="AL5" s="194">
        <v>40313</v>
      </c>
      <c r="AM5" s="194">
        <v>40314</v>
      </c>
      <c r="AN5" s="194">
        <v>40320</v>
      </c>
      <c r="AO5" s="194">
        <v>40320</v>
      </c>
      <c r="AP5" s="194">
        <v>40321</v>
      </c>
      <c r="AQ5" s="194">
        <v>40321</v>
      </c>
      <c r="AR5" s="194">
        <v>40322</v>
      </c>
      <c r="AS5" s="194">
        <v>40322</v>
      </c>
      <c r="AT5" s="194" t="s">
        <v>648</v>
      </c>
      <c r="AU5" s="194">
        <v>40328</v>
      </c>
      <c r="AV5" s="194">
        <v>40328</v>
      </c>
      <c r="AW5" s="194">
        <v>40334</v>
      </c>
      <c r="AX5" s="194">
        <v>40335</v>
      </c>
      <c r="AY5" s="194">
        <v>40341</v>
      </c>
      <c r="AZ5" s="194">
        <v>40342</v>
      </c>
      <c r="BA5" s="194">
        <v>40342</v>
      </c>
      <c r="BB5" s="194">
        <v>40348</v>
      </c>
      <c r="BC5" s="194">
        <v>40348</v>
      </c>
      <c r="BD5" s="194">
        <v>40349</v>
      </c>
      <c r="BE5" s="194">
        <v>40349</v>
      </c>
      <c r="BF5" s="194">
        <v>40354</v>
      </c>
      <c r="BG5" s="194">
        <v>40355</v>
      </c>
      <c r="BH5" s="194" t="s">
        <v>675</v>
      </c>
      <c r="BI5" s="194">
        <v>40359</v>
      </c>
      <c r="BJ5" s="194">
        <v>40361</v>
      </c>
      <c r="BK5" s="194">
        <v>40361</v>
      </c>
      <c r="BL5" s="194" t="s">
        <v>697</v>
      </c>
      <c r="BM5" s="194" t="s">
        <v>697</v>
      </c>
      <c r="BN5" s="194">
        <v>40362</v>
      </c>
      <c r="BO5" s="194">
        <v>40363</v>
      </c>
      <c r="BP5" s="194">
        <v>40367</v>
      </c>
      <c r="BQ5" s="194" t="s">
        <v>741</v>
      </c>
      <c r="BR5" s="194">
        <v>40370</v>
      </c>
      <c r="BS5" s="194" t="s">
        <v>824</v>
      </c>
      <c r="BT5" s="194" t="s">
        <v>703</v>
      </c>
      <c r="BU5" s="170" t="s">
        <v>811</v>
      </c>
      <c r="BV5" s="194">
        <v>40405</v>
      </c>
      <c r="BW5" s="194">
        <v>40411</v>
      </c>
      <c r="BX5" s="194">
        <v>40412</v>
      </c>
      <c r="BY5" s="194">
        <v>40412</v>
      </c>
      <c r="BZ5" s="194">
        <v>40418</v>
      </c>
      <c r="CA5" s="194">
        <v>40419</v>
      </c>
      <c r="CB5" s="194">
        <v>40422</v>
      </c>
      <c r="CC5" s="194">
        <v>40424</v>
      </c>
      <c r="CD5" s="194">
        <v>40425</v>
      </c>
      <c r="CE5" s="194">
        <v>40426</v>
      </c>
      <c r="CF5" s="194">
        <v>40432</v>
      </c>
      <c r="CG5" s="194">
        <v>40432</v>
      </c>
      <c r="CH5" s="194">
        <v>40433</v>
      </c>
      <c r="CI5" s="194">
        <v>40433</v>
      </c>
      <c r="CJ5" s="194">
        <v>40440</v>
      </c>
      <c r="CK5" s="194">
        <v>40446</v>
      </c>
      <c r="CL5" s="194">
        <v>40447</v>
      </c>
      <c r="CM5" s="194" t="s">
        <v>1067</v>
      </c>
      <c r="CN5" s="194">
        <v>40454</v>
      </c>
      <c r="CO5" s="194">
        <v>40460</v>
      </c>
      <c r="CP5" s="194">
        <v>40467</v>
      </c>
      <c r="CQ5" s="194">
        <v>40478</v>
      </c>
      <c r="CR5" s="194" t="s">
        <v>953</v>
      </c>
      <c r="CS5" s="194">
        <v>40489</v>
      </c>
      <c r="CT5" s="194">
        <v>40492</v>
      </c>
      <c r="CU5" s="194">
        <v>40495</v>
      </c>
      <c r="CV5" s="194" t="s">
        <v>1024</v>
      </c>
      <c r="CW5" s="194">
        <v>40496</v>
      </c>
      <c r="CX5" s="194">
        <v>40499</v>
      </c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</row>
    <row r="6" spans="82:150" ht="12.75">
      <c r="CD6" s="123" t="s">
        <v>15</v>
      </c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</row>
    <row r="7" spans="1:151" ht="12.75">
      <c r="A7" s="149" t="s">
        <v>281</v>
      </c>
      <c r="B7" s="123" t="s">
        <v>19</v>
      </c>
      <c r="F7" s="188"/>
      <c r="G7" s="188"/>
      <c r="J7" s="188"/>
      <c r="N7" s="188"/>
      <c r="P7" s="201"/>
      <c r="Q7" s="188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 t="s">
        <v>15</v>
      </c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Z7" s="170">
        <f>SUM(C7:CY7)</f>
        <v>0</v>
      </c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205"/>
    </row>
    <row r="8" spans="1:151" ht="12.75">
      <c r="A8" s="149" t="s">
        <v>282</v>
      </c>
      <c r="B8" s="123" t="s">
        <v>19</v>
      </c>
      <c r="F8" s="188"/>
      <c r="G8" s="188"/>
      <c r="J8" s="188"/>
      <c r="N8" s="188"/>
      <c r="P8" s="201"/>
      <c r="Q8" s="188"/>
      <c r="R8" s="201"/>
      <c r="S8" s="201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Z8" s="170">
        <f aca="true" t="shared" si="0" ref="CZ8:CZ77">SUM(C8:CY8)</f>
        <v>0</v>
      </c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205"/>
    </row>
    <row r="9" spans="1:151" ht="12.75">
      <c r="A9" s="149" t="s">
        <v>154</v>
      </c>
      <c r="B9" s="123" t="s">
        <v>152</v>
      </c>
      <c r="F9" s="188"/>
      <c r="G9" s="188"/>
      <c r="J9" s="188"/>
      <c r="N9" s="188"/>
      <c r="P9" s="201"/>
      <c r="Q9" s="188"/>
      <c r="R9" s="201"/>
      <c r="S9" s="201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>
        <v>60</v>
      </c>
      <c r="AH9" s="198"/>
      <c r="AI9" s="198"/>
      <c r="AJ9" s="198"/>
      <c r="AK9" s="198">
        <v>60</v>
      </c>
      <c r="AL9" s="198"/>
      <c r="AM9" s="198"/>
      <c r="AN9" s="198"/>
      <c r="AO9" s="198"/>
      <c r="AP9" s="198"/>
      <c r="AQ9" s="198">
        <v>90</v>
      </c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Z9" s="170">
        <f t="shared" si="0"/>
        <v>210</v>
      </c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205"/>
    </row>
    <row r="10" spans="1:151" ht="12.75">
      <c r="A10" s="149" t="s">
        <v>156</v>
      </c>
      <c r="B10" s="123" t="s">
        <v>152</v>
      </c>
      <c r="F10" s="188"/>
      <c r="G10" s="188"/>
      <c r="J10" s="188"/>
      <c r="N10" s="188"/>
      <c r="P10" s="201"/>
      <c r="Q10" s="188"/>
      <c r="R10" s="201"/>
      <c r="S10" s="201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>
        <v>170</v>
      </c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Z10" s="170">
        <f t="shared" si="0"/>
        <v>170</v>
      </c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205"/>
    </row>
    <row r="11" spans="1:151" ht="12.75">
      <c r="A11" s="149" t="s">
        <v>155</v>
      </c>
      <c r="B11" s="123" t="s">
        <v>152</v>
      </c>
      <c r="F11" s="188"/>
      <c r="G11" s="188"/>
      <c r="J11" s="188"/>
      <c r="N11" s="188"/>
      <c r="P11" s="201"/>
      <c r="Q11" s="188"/>
      <c r="R11" s="201"/>
      <c r="S11" s="201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>
        <v>120</v>
      </c>
      <c r="AL11" s="198"/>
      <c r="AM11" s="198"/>
      <c r="AN11" s="198"/>
      <c r="AO11" s="198"/>
      <c r="AP11" s="198"/>
      <c r="AQ11" s="198">
        <v>170</v>
      </c>
      <c r="AR11" s="198"/>
      <c r="AS11" s="198">
        <v>240</v>
      </c>
      <c r="AT11" s="198"/>
      <c r="AU11" s="198"/>
      <c r="AV11" s="198"/>
      <c r="AW11" s="198"/>
      <c r="AX11" s="198"/>
      <c r="AY11" s="198"/>
      <c r="AZ11" s="198">
        <v>130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>
        <v>300</v>
      </c>
      <c r="CQ11" s="198"/>
      <c r="CR11" s="198"/>
      <c r="CS11" s="198"/>
      <c r="CT11" s="198"/>
      <c r="CU11" s="198"/>
      <c r="CV11" s="198"/>
      <c r="CW11" s="198"/>
      <c r="CX11" s="198"/>
      <c r="CZ11" s="170">
        <f t="shared" si="0"/>
        <v>960</v>
      </c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205"/>
    </row>
    <row r="12" spans="1:151" ht="12.75">
      <c r="A12" s="149" t="s">
        <v>157</v>
      </c>
      <c r="B12" s="123" t="s">
        <v>152</v>
      </c>
      <c r="F12" s="188"/>
      <c r="G12" s="188"/>
      <c r="J12" s="188"/>
      <c r="N12" s="188"/>
      <c r="P12" s="201"/>
      <c r="Q12" s="188"/>
      <c r="R12" s="201"/>
      <c r="S12" s="201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>
        <v>120</v>
      </c>
      <c r="AH12" s="198"/>
      <c r="AI12" s="198"/>
      <c r="AJ12" s="198"/>
      <c r="AK12" s="198">
        <v>120</v>
      </c>
      <c r="AL12" s="198"/>
      <c r="AM12" s="198"/>
      <c r="AN12" s="198"/>
      <c r="AO12" s="198"/>
      <c r="AP12" s="198"/>
      <c r="AQ12" s="198">
        <v>170</v>
      </c>
      <c r="AR12" s="198"/>
      <c r="AS12" s="198"/>
      <c r="AT12" s="198"/>
      <c r="AU12" s="198"/>
      <c r="AV12" s="198"/>
      <c r="AW12" s="198"/>
      <c r="AX12" s="198"/>
      <c r="AY12" s="198"/>
      <c r="AZ12" s="198">
        <v>130</v>
      </c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>
        <v>300</v>
      </c>
      <c r="CQ12" s="198"/>
      <c r="CR12" s="198"/>
      <c r="CS12" s="198"/>
      <c r="CT12" s="198"/>
      <c r="CU12" s="198"/>
      <c r="CV12" s="198"/>
      <c r="CW12" s="198"/>
      <c r="CX12" s="198"/>
      <c r="CZ12" s="170">
        <f t="shared" si="0"/>
        <v>840</v>
      </c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205"/>
    </row>
    <row r="13" spans="1:151" ht="12.75">
      <c r="A13" s="149" t="s">
        <v>176</v>
      </c>
      <c r="B13" s="123" t="s">
        <v>152</v>
      </c>
      <c r="F13" s="188"/>
      <c r="G13" s="188"/>
      <c r="J13" s="188"/>
      <c r="N13" s="188"/>
      <c r="P13" s="201"/>
      <c r="Q13" s="188"/>
      <c r="R13" s="201"/>
      <c r="S13" s="201"/>
      <c r="T13" s="198"/>
      <c r="U13" s="198"/>
      <c r="V13" s="198"/>
      <c r="W13" s="198"/>
      <c r="X13" s="198">
        <v>180</v>
      </c>
      <c r="Y13" s="198">
        <v>170</v>
      </c>
      <c r="Z13" s="198"/>
      <c r="AA13" s="198">
        <v>275</v>
      </c>
      <c r="AB13" s="198"/>
      <c r="AC13" s="198"/>
      <c r="AD13" s="198"/>
      <c r="AE13" s="198"/>
      <c r="AF13" s="198"/>
      <c r="AG13" s="198">
        <v>120</v>
      </c>
      <c r="AH13" s="198">
        <v>120</v>
      </c>
      <c r="AI13" s="198"/>
      <c r="AJ13" s="198"/>
      <c r="AK13" s="198">
        <v>120</v>
      </c>
      <c r="AL13" s="198"/>
      <c r="AM13" s="198"/>
      <c r="AN13" s="198"/>
      <c r="AO13" s="198"/>
      <c r="AP13" s="198"/>
      <c r="AQ13" s="198"/>
      <c r="AR13" s="198"/>
      <c r="AS13" s="198"/>
      <c r="AT13" s="198"/>
      <c r="AU13" s="198">
        <v>160</v>
      </c>
      <c r="AV13" s="198"/>
      <c r="AW13" s="198"/>
      <c r="AX13" s="198"/>
      <c r="AY13" s="198"/>
      <c r="AZ13" s="198">
        <v>195</v>
      </c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V13" s="198"/>
      <c r="BW13" s="198"/>
      <c r="BX13" s="198"/>
      <c r="BY13" s="198"/>
      <c r="BZ13" s="198"/>
      <c r="CA13" s="198"/>
      <c r="CB13" s="198">
        <v>110</v>
      </c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>
        <v>300</v>
      </c>
      <c r="CQ13" s="198"/>
      <c r="CR13" s="198"/>
      <c r="CS13" s="198"/>
      <c r="CT13" s="198"/>
      <c r="CU13" s="198"/>
      <c r="CV13" s="198"/>
      <c r="CW13" s="198"/>
      <c r="CX13" s="198"/>
      <c r="CZ13" s="170">
        <f t="shared" si="0"/>
        <v>1750</v>
      </c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205"/>
    </row>
    <row r="14" spans="1:150" ht="12.75">
      <c r="A14" s="149" t="s">
        <v>210</v>
      </c>
      <c r="B14" s="123" t="s">
        <v>18</v>
      </c>
      <c r="F14" s="188"/>
      <c r="G14" s="188"/>
      <c r="J14" s="188"/>
      <c r="N14" s="188"/>
      <c r="P14" s="201"/>
      <c r="Q14" s="188"/>
      <c r="R14" s="201"/>
      <c r="S14" s="201"/>
      <c r="T14" s="198"/>
      <c r="U14" s="198"/>
      <c r="V14" s="198">
        <v>170</v>
      </c>
      <c r="W14" s="198">
        <v>180</v>
      </c>
      <c r="X14" s="198">
        <v>180</v>
      </c>
      <c r="Y14" s="198">
        <v>255</v>
      </c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Z14" s="170">
        <f t="shared" si="0"/>
        <v>785</v>
      </c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</row>
    <row r="15" spans="1:150" ht="12.75">
      <c r="A15" s="149" t="s">
        <v>254</v>
      </c>
      <c r="B15" s="123" t="s">
        <v>18</v>
      </c>
      <c r="F15" s="188"/>
      <c r="G15" s="188"/>
      <c r="J15" s="188"/>
      <c r="N15" s="188"/>
      <c r="P15" s="201"/>
      <c r="Q15" s="188"/>
      <c r="R15" s="201"/>
      <c r="S15" s="201"/>
      <c r="T15" s="198"/>
      <c r="U15" s="198"/>
      <c r="V15" s="198">
        <v>80</v>
      </c>
      <c r="W15" s="198">
        <v>90</v>
      </c>
      <c r="X15" s="198">
        <v>90</v>
      </c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>
        <v>70</v>
      </c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V15" s="198"/>
      <c r="BW15" s="198"/>
      <c r="BX15" s="198"/>
      <c r="BY15" s="198"/>
      <c r="BZ15" s="198"/>
      <c r="CA15" s="198"/>
      <c r="CB15" s="198"/>
      <c r="CC15" s="198"/>
      <c r="CD15" s="198">
        <v>85</v>
      </c>
      <c r="CE15" s="198"/>
      <c r="CF15" s="198"/>
      <c r="CG15" s="198"/>
      <c r="CH15" s="198"/>
      <c r="CI15" s="198">
        <v>65</v>
      </c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Z15" s="170">
        <f t="shared" si="0"/>
        <v>480</v>
      </c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</row>
    <row r="16" spans="1:150" ht="12.75">
      <c r="A16" s="149" t="s">
        <v>231</v>
      </c>
      <c r="B16" s="123" t="s">
        <v>18</v>
      </c>
      <c r="F16" s="188"/>
      <c r="G16" s="188"/>
      <c r="J16" s="188"/>
      <c r="N16" s="188"/>
      <c r="P16" s="201"/>
      <c r="Q16" s="188"/>
      <c r="R16" s="201"/>
      <c r="S16" s="201"/>
      <c r="T16" s="198"/>
      <c r="U16" s="198"/>
      <c r="V16" s="198">
        <v>80</v>
      </c>
      <c r="W16" s="198">
        <v>90</v>
      </c>
      <c r="X16" s="198">
        <v>90</v>
      </c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V16" s="198"/>
      <c r="BW16" s="198"/>
      <c r="BX16" s="198"/>
      <c r="BY16" s="198"/>
      <c r="BZ16" s="198"/>
      <c r="CA16" s="198"/>
      <c r="CB16" s="198"/>
      <c r="CC16" s="198"/>
      <c r="CD16" s="198">
        <v>85</v>
      </c>
      <c r="CE16" s="198"/>
      <c r="CF16" s="198"/>
      <c r="CG16" s="198"/>
      <c r="CH16" s="198"/>
      <c r="CI16" s="198">
        <v>65</v>
      </c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Z16" s="170">
        <f t="shared" si="0"/>
        <v>410</v>
      </c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</row>
    <row r="17" spans="1:150" ht="12.75">
      <c r="A17" s="149" t="s">
        <v>153</v>
      </c>
      <c r="B17" s="123" t="s">
        <v>21</v>
      </c>
      <c r="C17" s="123">
        <v>90</v>
      </c>
      <c r="D17" s="123">
        <v>100</v>
      </c>
      <c r="F17" s="188"/>
      <c r="G17" s="188"/>
      <c r="J17" s="188"/>
      <c r="N17" s="188"/>
      <c r="P17" s="201"/>
      <c r="Q17" s="188"/>
      <c r="R17" s="201"/>
      <c r="S17" s="201"/>
      <c r="T17" s="198"/>
      <c r="U17" s="198"/>
      <c r="V17" s="198">
        <v>170</v>
      </c>
      <c r="W17" s="198">
        <v>180</v>
      </c>
      <c r="X17" s="198">
        <v>180</v>
      </c>
      <c r="Y17" s="198"/>
      <c r="Z17" s="198">
        <v>255</v>
      </c>
      <c r="AA17" s="198"/>
      <c r="AB17" s="198"/>
      <c r="AC17" s="198">
        <v>120</v>
      </c>
      <c r="AD17" s="198"/>
      <c r="AE17" s="198">
        <v>110</v>
      </c>
      <c r="AF17" s="198">
        <v>110</v>
      </c>
      <c r="AG17" s="198"/>
      <c r="AH17" s="198">
        <v>120</v>
      </c>
      <c r="AI17" s="198"/>
      <c r="AJ17" s="198"/>
      <c r="AK17" s="198"/>
      <c r="AL17" s="198"/>
      <c r="AM17" s="198"/>
      <c r="AN17" s="198"/>
      <c r="AO17" s="198"/>
      <c r="AP17" s="198"/>
      <c r="AQ17" s="198">
        <v>170</v>
      </c>
      <c r="AR17" s="198"/>
      <c r="AS17" s="198"/>
      <c r="AT17" s="198"/>
      <c r="AU17" s="198"/>
      <c r="AV17" s="198">
        <v>110</v>
      </c>
      <c r="AW17" s="198">
        <v>165</v>
      </c>
      <c r="AX17" s="198">
        <v>130</v>
      </c>
      <c r="AY17" s="198"/>
      <c r="AZ17" s="198">
        <v>130</v>
      </c>
      <c r="BA17" s="198"/>
      <c r="BB17" s="198"/>
      <c r="BC17" s="198">
        <v>120</v>
      </c>
      <c r="BD17" s="198">
        <v>220</v>
      </c>
      <c r="BE17" s="198"/>
      <c r="BF17" s="198">
        <v>200</v>
      </c>
      <c r="BG17" s="198">
        <v>200</v>
      </c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>
        <v>360</v>
      </c>
      <c r="BS17" s="198"/>
      <c r="BT17" s="198"/>
      <c r="BU17" s="170">
        <f>(90+90+90+90)*0.8602</f>
        <v>309.67199999999997</v>
      </c>
      <c r="BV17" s="198"/>
      <c r="BW17" s="198"/>
      <c r="BX17" s="198">
        <v>110</v>
      </c>
      <c r="BY17" s="198"/>
      <c r="BZ17" s="198">
        <v>180</v>
      </c>
      <c r="CA17" s="198">
        <v>180</v>
      </c>
      <c r="CB17" s="198"/>
      <c r="CC17" s="198">
        <v>120</v>
      </c>
      <c r="CD17" s="198">
        <v>215</v>
      </c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>
        <v>100</v>
      </c>
      <c r="CP17" s="198">
        <v>300</v>
      </c>
      <c r="CQ17" s="198"/>
      <c r="CR17" s="198"/>
      <c r="CS17" s="198"/>
      <c r="CT17" s="198"/>
      <c r="CU17" s="198">
        <f>60*649.5/740</f>
        <v>52.66216216216216</v>
      </c>
      <c r="CV17" s="198"/>
      <c r="CW17" s="198">
        <f>60*649.5/740</f>
        <v>52.66216216216216</v>
      </c>
      <c r="CX17" s="198"/>
      <c r="CZ17" s="170">
        <f t="shared" si="0"/>
        <v>4859.9963243243255</v>
      </c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</row>
    <row r="18" spans="1:150" ht="12.75">
      <c r="A18" s="149" t="s">
        <v>265</v>
      </c>
      <c r="B18" s="123" t="s">
        <v>21</v>
      </c>
      <c r="F18" s="188"/>
      <c r="G18" s="188"/>
      <c r="J18" s="188"/>
      <c r="N18" s="188"/>
      <c r="P18" s="201"/>
      <c r="Q18" s="188"/>
      <c r="R18" s="201"/>
      <c r="S18" s="201"/>
      <c r="T18" s="198"/>
      <c r="U18" s="198"/>
      <c r="V18" s="198"/>
      <c r="W18" s="198">
        <v>180</v>
      </c>
      <c r="X18" s="198">
        <v>180</v>
      </c>
      <c r="Y18" s="198"/>
      <c r="Z18" s="198">
        <v>255</v>
      </c>
      <c r="AA18" s="198"/>
      <c r="AB18" s="198"/>
      <c r="AC18" s="198">
        <v>120</v>
      </c>
      <c r="AD18" s="198"/>
      <c r="AE18" s="198">
        <v>110</v>
      </c>
      <c r="AF18" s="198">
        <v>110</v>
      </c>
      <c r="AG18" s="198"/>
      <c r="AH18" s="198">
        <v>120</v>
      </c>
      <c r="AI18" s="198"/>
      <c r="AJ18" s="198"/>
      <c r="AK18" s="198"/>
      <c r="AL18" s="198"/>
      <c r="AM18" s="198"/>
      <c r="AN18" s="198"/>
      <c r="AO18" s="198"/>
      <c r="AP18" s="198"/>
      <c r="AQ18" s="198">
        <v>170</v>
      </c>
      <c r="AR18" s="198"/>
      <c r="AS18" s="198">
        <v>170</v>
      </c>
      <c r="AT18" s="198"/>
      <c r="AU18" s="198"/>
      <c r="AV18" s="198">
        <v>110</v>
      </c>
      <c r="AW18" s="198"/>
      <c r="AX18" s="198"/>
      <c r="AY18" s="198"/>
      <c r="AZ18" s="198">
        <v>130</v>
      </c>
      <c r="BA18" s="198"/>
      <c r="BB18" s="198"/>
      <c r="BC18" s="198">
        <v>120</v>
      </c>
      <c r="BD18" s="198">
        <v>220</v>
      </c>
      <c r="BE18" s="198"/>
      <c r="BF18" s="198">
        <v>200</v>
      </c>
      <c r="BG18" s="198">
        <v>200</v>
      </c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>
        <v>360</v>
      </c>
      <c r="BS18" s="198"/>
      <c r="BT18" s="198"/>
      <c r="BU18" s="170">
        <f>(90+90+90+90)*0.8602</f>
        <v>309.67199999999997</v>
      </c>
      <c r="BV18" s="198"/>
      <c r="BW18" s="198"/>
      <c r="BX18" s="198">
        <v>165</v>
      </c>
      <c r="BY18" s="198"/>
      <c r="BZ18" s="198"/>
      <c r="CA18" s="198"/>
      <c r="CB18" s="198"/>
      <c r="CC18" s="198">
        <v>120</v>
      </c>
      <c r="CD18" s="198">
        <v>215</v>
      </c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>
        <f>60*649.5/740</f>
        <v>52.66216216216216</v>
      </c>
      <c r="CV18" s="198"/>
      <c r="CW18" s="198">
        <f>40*649.5/740</f>
        <v>35.108108108108105</v>
      </c>
      <c r="CX18" s="198"/>
      <c r="CZ18" s="170">
        <f t="shared" si="0"/>
        <v>3652.44227027027</v>
      </c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</row>
    <row r="19" spans="1:151" ht="12.75">
      <c r="A19" s="149" t="s">
        <v>65</v>
      </c>
      <c r="B19" s="123" t="s">
        <v>18</v>
      </c>
      <c r="F19" s="188"/>
      <c r="G19" s="188"/>
      <c r="J19" s="188"/>
      <c r="N19" s="188"/>
      <c r="P19" s="201"/>
      <c r="Q19" s="188"/>
      <c r="R19" s="201"/>
      <c r="S19" s="201"/>
      <c r="T19" s="198"/>
      <c r="U19" s="198"/>
      <c r="V19" s="198"/>
      <c r="W19" s="198"/>
      <c r="X19" s="198"/>
      <c r="Y19" s="198"/>
      <c r="Z19" s="198"/>
      <c r="AA19" s="198"/>
      <c r="AB19" s="198">
        <v>110</v>
      </c>
      <c r="AC19" s="198"/>
      <c r="AD19" s="198">
        <v>130</v>
      </c>
      <c r="AE19" s="198"/>
      <c r="AF19" s="198"/>
      <c r="AG19" s="198">
        <v>120</v>
      </c>
      <c r="AH19" s="198"/>
      <c r="AI19" s="198"/>
      <c r="AJ19" s="198"/>
      <c r="AK19" s="198"/>
      <c r="AL19" s="198"/>
      <c r="AM19" s="198"/>
      <c r="AN19" s="198"/>
      <c r="AO19" s="198"/>
      <c r="AP19" s="198"/>
      <c r="AQ19" s="198">
        <v>170</v>
      </c>
      <c r="AR19" s="198"/>
      <c r="AS19" s="198"/>
      <c r="AT19" s="198"/>
      <c r="AU19" s="198"/>
      <c r="AV19" s="198"/>
      <c r="AW19" s="198">
        <v>110</v>
      </c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Z19" s="170">
        <f t="shared" si="0"/>
        <v>640</v>
      </c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205"/>
    </row>
    <row r="20" spans="1:150" ht="12.75">
      <c r="A20" s="149" t="s">
        <v>654</v>
      </c>
      <c r="B20" s="123" t="s">
        <v>21</v>
      </c>
      <c r="F20" s="188"/>
      <c r="G20" s="188"/>
      <c r="J20" s="188"/>
      <c r="N20" s="188"/>
      <c r="P20" s="201"/>
      <c r="Q20" s="188"/>
      <c r="R20" s="201"/>
      <c r="S20" s="201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>
        <v>105</v>
      </c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Z20" s="170">
        <f t="shared" si="0"/>
        <v>105</v>
      </c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</row>
    <row r="21" spans="1:150" ht="12.75">
      <c r="A21" s="149" t="s">
        <v>536</v>
      </c>
      <c r="B21" s="123" t="s">
        <v>21</v>
      </c>
      <c r="F21" s="188"/>
      <c r="G21" s="188"/>
      <c r="J21" s="188"/>
      <c r="N21" s="188"/>
      <c r="P21" s="201"/>
      <c r="Q21" s="188"/>
      <c r="R21" s="201"/>
      <c r="S21" s="201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>
        <f>60+30</f>
        <v>90</v>
      </c>
      <c r="AX21" s="198"/>
      <c r="AY21" s="198"/>
      <c r="AZ21" s="198">
        <v>195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Z21" s="170">
        <f t="shared" si="0"/>
        <v>285</v>
      </c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</row>
    <row r="22" spans="1:151" ht="12.75">
      <c r="A22" s="149" t="s">
        <v>235</v>
      </c>
      <c r="B22" s="123" t="s">
        <v>21</v>
      </c>
      <c r="F22" s="188"/>
      <c r="G22" s="188"/>
      <c r="H22" s="123">
        <v>140</v>
      </c>
      <c r="I22" s="123">
        <v>140</v>
      </c>
      <c r="J22" s="188"/>
      <c r="N22" s="188"/>
      <c r="P22" s="201"/>
      <c r="Q22" s="188"/>
      <c r="R22" s="201"/>
      <c r="S22" s="201"/>
      <c r="T22" s="198"/>
      <c r="U22" s="198"/>
      <c r="V22" s="198"/>
      <c r="W22" s="198"/>
      <c r="X22" s="198">
        <v>90</v>
      </c>
      <c r="Y22" s="198">
        <v>120</v>
      </c>
      <c r="Z22" s="198">
        <v>120</v>
      </c>
      <c r="AA22" s="198">
        <v>180</v>
      </c>
      <c r="AB22" s="198"/>
      <c r="AC22" s="198"/>
      <c r="AD22" s="198">
        <v>70</v>
      </c>
      <c r="AE22" s="198"/>
      <c r="AF22" s="198"/>
      <c r="AG22" s="198">
        <v>60</v>
      </c>
      <c r="AH22" s="198">
        <v>70</v>
      </c>
      <c r="AI22" s="198"/>
      <c r="AJ22" s="198"/>
      <c r="AK22" s="198"/>
      <c r="AL22" s="198"/>
      <c r="AM22" s="198"/>
      <c r="AN22" s="198"/>
      <c r="AO22" s="198"/>
      <c r="AP22" s="198"/>
      <c r="AQ22" s="198">
        <v>90</v>
      </c>
      <c r="AR22" s="198"/>
      <c r="AS22" s="198">
        <v>90</v>
      </c>
      <c r="AT22" s="198"/>
      <c r="AU22" s="198">
        <v>80</v>
      </c>
      <c r="AV22" s="198"/>
      <c r="AW22" s="198">
        <v>60</v>
      </c>
      <c r="AX22" s="198"/>
      <c r="AY22" s="198"/>
      <c r="AZ22" s="198">
        <v>70</v>
      </c>
      <c r="BA22" s="198"/>
      <c r="BB22" s="198"/>
      <c r="BC22" s="198"/>
      <c r="BD22" s="198">
        <v>80</v>
      </c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>
        <v>50</v>
      </c>
      <c r="BQ22" s="198">
        <v>300</v>
      </c>
      <c r="BR22" s="198"/>
      <c r="BS22" s="198"/>
      <c r="BT22" s="198"/>
      <c r="BV22" s="198"/>
      <c r="BW22" s="198"/>
      <c r="BX22" s="198"/>
      <c r="BY22" s="198"/>
      <c r="BZ22" s="198"/>
      <c r="CA22" s="198"/>
      <c r="CB22" s="198"/>
      <c r="CC22" s="198"/>
      <c r="CD22" s="198">
        <v>85</v>
      </c>
      <c r="CE22" s="198"/>
      <c r="CF22" s="198"/>
      <c r="CG22" s="198"/>
      <c r="CH22" s="198"/>
      <c r="CI22" s="198"/>
      <c r="CJ22" s="198">
        <v>60</v>
      </c>
      <c r="CK22" s="198"/>
      <c r="CL22" s="198"/>
      <c r="CM22" s="198"/>
      <c r="CN22" s="198"/>
      <c r="CO22" s="198"/>
      <c r="CP22" s="198">
        <v>200</v>
      </c>
      <c r="CQ22" s="198"/>
      <c r="CR22" s="198"/>
      <c r="CS22" s="198"/>
      <c r="CT22" s="198"/>
      <c r="CU22" s="198"/>
      <c r="CV22" s="198"/>
      <c r="CW22" s="198"/>
      <c r="CX22" s="198"/>
      <c r="CZ22" s="170">
        <f t="shared" si="0"/>
        <v>2155</v>
      </c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205"/>
    </row>
    <row r="23" spans="1:150" ht="12.75">
      <c r="A23" s="149" t="s">
        <v>266</v>
      </c>
      <c r="B23" s="123" t="s">
        <v>18</v>
      </c>
      <c r="F23" s="188"/>
      <c r="G23" s="188"/>
      <c r="J23" s="188"/>
      <c r="N23" s="188"/>
      <c r="P23" s="201"/>
      <c r="Q23" s="188"/>
      <c r="R23" s="201"/>
      <c r="S23" s="201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Z23" s="170">
        <f t="shared" si="0"/>
        <v>0</v>
      </c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</row>
    <row r="24" spans="1:136" ht="12.75">
      <c r="A24" s="149" t="s">
        <v>57</v>
      </c>
      <c r="B24" s="123" t="s">
        <v>17</v>
      </c>
      <c r="D24" s="123">
        <v>100</v>
      </c>
      <c r="F24" s="188"/>
      <c r="G24" s="188"/>
      <c r="J24" s="188"/>
      <c r="N24" s="188"/>
      <c r="P24" s="201"/>
      <c r="Q24" s="188"/>
      <c r="R24" s="201"/>
      <c r="S24" s="201"/>
      <c r="T24" s="198"/>
      <c r="U24" s="198"/>
      <c r="V24" s="198"/>
      <c r="W24" s="198"/>
      <c r="X24" s="198"/>
      <c r="Y24" s="198"/>
      <c r="Z24" s="198"/>
      <c r="AA24" s="198"/>
      <c r="AB24" s="198"/>
      <c r="AC24" s="198">
        <v>120</v>
      </c>
      <c r="AD24" s="198"/>
      <c r="AE24" s="198"/>
      <c r="AF24" s="198">
        <v>110</v>
      </c>
      <c r="AG24" s="198"/>
      <c r="AH24" s="198"/>
      <c r="AI24" s="198"/>
      <c r="AJ24" s="198"/>
      <c r="AK24" s="198"/>
      <c r="AL24" s="198"/>
      <c r="AM24" s="198"/>
      <c r="AN24" s="198"/>
      <c r="AO24" s="198">
        <v>170</v>
      </c>
      <c r="AP24" s="198"/>
      <c r="AQ24" s="198">
        <v>170</v>
      </c>
      <c r="AR24" s="198"/>
      <c r="AS24" s="198"/>
      <c r="AT24" s="198"/>
      <c r="AU24" s="198"/>
      <c r="AV24" s="198">
        <v>110</v>
      </c>
      <c r="AW24" s="198"/>
      <c r="AX24" s="198"/>
      <c r="AY24" s="198"/>
      <c r="AZ24" s="198"/>
      <c r="BA24" s="198"/>
      <c r="BB24" s="198"/>
      <c r="BC24" s="198"/>
      <c r="BD24" s="198"/>
      <c r="BE24" s="198"/>
      <c r="BF24" s="198">
        <v>200</v>
      </c>
      <c r="BG24" s="198">
        <v>300</v>
      </c>
      <c r="BH24" s="198"/>
      <c r="BI24" s="198"/>
      <c r="BJ24" s="198"/>
      <c r="BK24" s="198">
        <v>45</v>
      </c>
      <c r="BL24" s="198">
        <f>220*84.9885/100</f>
        <v>186.9747</v>
      </c>
      <c r="BM24" s="198"/>
      <c r="BN24" s="198"/>
      <c r="BO24" s="198"/>
      <c r="BP24" s="198"/>
      <c r="BQ24" s="198"/>
      <c r="BR24" s="198"/>
      <c r="BS24" s="198">
        <f>125*0.86775786</f>
        <v>108.46973249999999</v>
      </c>
      <c r="BT24" s="198"/>
      <c r="BV24" s="198"/>
      <c r="BW24" s="198"/>
      <c r="BX24" s="198"/>
      <c r="BY24" s="198"/>
      <c r="BZ24" s="198"/>
      <c r="CA24" s="198"/>
      <c r="CB24" s="198"/>
      <c r="CC24" s="198">
        <v>120</v>
      </c>
      <c r="CD24" s="198">
        <v>135</v>
      </c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Z24" s="170">
        <f t="shared" si="0"/>
        <v>1875.4444325</v>
      </c>
      <c r="DC24" s="123"/>
      <c r="DD24" s="123"/>
      <c r="EF24" s="123"/>
    </row>
    <row r="25" spans="1:150" ht="12.75">
      <c r="A25" s="149" t="s">
        <v>828</v>
      </c>
      <c r="B25" s="123" t="s">
        <v>18</v>
      </c>
      <c r="F25" s="188"/>
      <c r="G25" s="188"/>
      <c r="J25" s="188"/>
      <c r="N25" s="188"/>
      <c r="P25" s="201"/>
      <c r="Q25" s="188"/>
      <c r="R25" s="201"/>
      <c r="S25" s="201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V25" s="198"/>
      <c r="BW25" s="198"/>
      <c r="BX25" s="198"/>
      <c r="BY25" s="198"/>
      <c r="BZ25" s="198"/>
      <c r="CA25" s="198"/>
      <c r="CB25" s="198">
        <v>110</v>
      </c>
      <c r="CC25" s="198"/>
      <c r="CD25" s="198">
        <v>135</v>
      </c>
      <c r="CE25" s="198">
        <v>135</v>
      </c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Z25" s="170">
        <f>SUM(C25:CY25)</f>
        <v>380</v>
      </c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</row>
    <row r="26" spans="1:150" ht="12.75">
      <c r="A26" s="149" t="s">
        <v>881</v>
      </c>
      <c r="B26" s="123" t="s">
        <v>19</v>
      </c>
      <c r="F26" s="188"/>
      <c r="G26" s="188"/>
      <c r="J26" s="188"/>
      <c r="N26" s="188"/>
      <c r="P26" s="201"/>
      <c r="Q26" s="188"/>
      <c r="R26" s="201"/>
      <c r="S26" s="201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V26" s="198"/>
      <c r="BW26" s="198"/>
      <c r="BX26" s="198"/>
      <c r="BY26" s="198"/>
      <c r="BZ26" s="198"/>
      <c r="CA26" s="198"/>
      <c r="CB26" s="198"/>
      <c r="CC26" s="198"/>
      <c r="CD26" s="198">
        <v>215</v>
      </c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Z26" s="170">
        <f>SUM(C26:CY26)</f>
        <v>215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</row>
    <row r="27" spans="1:104" ht="12.75">
      <c r="A27" s="149" t="s">
        <v>131</v>
      </c>
      <c r="B27" s="123" t="s">
        <v>18</v>
      </c>
      <c r="F27" s="188"/>
      <c r="G27" s="188"/>
      <c r="J27" s="188"/>
      <c r="N27" s="188"/>
      <c r="P27" s="201"/>
      <c r="Q27" s="188"/>
      <c r="R27" s="201"/>
      <c r="S27" s="201"/>
      <c r="T27" s="198"/>
      <c r="U27" s="198"/>
      <c r="V27" s="198"/>
      <c r="W27" s="198"/>
      <c r="X27" s="198"/>
      <c r="Y27" s="198"/>
      <c r="Z27" s="198"/>
      <c r="AA27" s="198">
        <v>180</v>
      </c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>
        <v>150</v>
      </c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>
        <v>200</v>
      </c>
      <c r="CQ27" s="198"/>
      <c r="CR27" s="198"/>
      <c r="CS27" s="198"/>
      <c r="CT27" s="198"/>
      <c r="CU27" s="198"/>
      <c r="CV27" s="198"/>
      <c r="CW27" s="198"/>
      <c r="CX27" s="198"/>
      <c r="CZ27" s="170">
        <f t="shared" si="0"/>
        <v>530</v>
      </c>
    </row>
    <row r="28" spans="1:150" ht="12.75">
      <c r="A28" s="149" t="s">
        <v>211</v>
      </c>
      <c r="B28" s="123" t="s">
        <v>18</v>
      </c>
      <c r="F28" s="188"/>
      <c r="G28" s="188"/>
      <c r="J28" s="188"/>
      <c r="N28" s="188"/>
      <c r="P28" s="201"/>
      <c r="Q28" s="188"/>
      <c r="R28" s="201"/>
      <c r="S28" s="201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Z28" s="170">
        <f t="shared" si="0"/>
        <v>0</v>
      </c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</row>
    <row r="29" spans="1:136" ht="12.75">
      <c r="A29" s="149" t="s">
        <v>130</v>
      </c>
      <c r="B29" s="123" t="s">
        <v>18</v>
      </c>
      <c r="F29" s="188"/>
      <c r="G29" s="188"/>
      <c r="J29" s="188"/>
      <c r="N29" s="188"/>
      <c r="P29" s="201"/>
      <c r="Q29" s="188"/>
      <c r="R29" s="201"/>
      <c r="S29" s="201"/>
      <c r="T29" s="198">
        <v>165</v>
      </c>
      <c r="U29" s="198"/>
      <c r="V29" s="198"/>
      <c r="W29" s="198"/>
      <c r="X29" s="198">
        <v>300</v>
      </c>
      <c r="Y29" s="198"/>
      <c r="Z29" s="198"/>
      <c r="AA29" s="198">
        <v>275</v>
      </c>
      <c r="AB29" s="198"/>
      <c r="AC29" s="198"/>
      <c r="AD29" s="198"/>
      <c r="AE29" s="198"/>
      <c r="AF29" s="198"/>
      <c r="AG29" s="198"/>
      <c r="AH29" s="198"/>
      <c r="AI29" s="198">
        <v>250</v>
      </c>
      <c r="AJ29" s="198"/>
      <c r="AK29" s="198"/>
      <c r="AL29" s="198"/>
      <c r="AM29" s="198">
        <v>250</v>
      </c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Z29" s="170">
        <f t="shared" si="0"/>
        <v>1240</v>
      </c>
      <c r="EF29" s="123"/>
    </row>
    <row r="30" spans="1:150" ht="12.75">
      <c r="A30" s="149" t="s">
        <v>537</v>
      </c>
      <c r="B30" s="123" t="s">
        <v>18</v>
      </c>
      <c r="F30" s="188"/>
      <c r="G30" s="188"/>
      <c r="J30" s="188"/>
      <c r="N30" s="188"/>
      <c r="P30" s="201"/>
      <c r="Q30" s="188"/>
      <c r="R30" s="201"/>
      <c r="S30" s="201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>
        <v>110</v>
      </c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>
        <v>750</v>
      </c>
      <c r="BR30" s="198"/>
      <c r="BS30" s="198"/>
      <c r="BT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>
        <v>110</v>
      </c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Z30" s="170">
        <f t="shared" si="0"/>
        <v>970</v>
      </c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</row>
    <row r="31" spans="1:136" ht="12.75">
      <c r="A31" s="149" t="s">
        <v>277</v>
      </c>
      <c r="B31" s="123" t="s">
        <v>18</v>
      </c>
      <c r="F31" s="188"/>
      <c r="G31" s="188"/>
      <c r="J31" s="188"/>
      <c r="N31" s="188"/>
      <c r="P31" s="201"/>
      <c r="Q31" s="188"/>
      <c r="R31" s="201"/>
      <c r="S31" s="201"/>
      <c r="T31" s="198"/>
      <c r="U31" s="198"/>
      <c r="V31" s="198"/>
      <c r="W31" s="198"/>
      <c r="X31" s="198"/>
      <c r="Y31" s="198"/>
      <c r="Z31" s="198"/>
      <c r="AA31" s="198">
        <v>180</v>
      </c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>
        <v>60</v>
      </c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>
        <v>240</v>
      </c>
      <c r="BR31" s="198"/>
      <c r="BS31" s="198"/>
      <c r="BT31" s="198"/>
      <c r="BV31" s="198"/>
      <c r="BW31" s="198"/>
      <c r="BX31" s="198"/>
      <c r="BY31" s="198"/>
      <c r="BZ31" s="198"/>
      <c r="CA31" s="198"/>
      <c r="CB31" s="198"/>
      <c r="CC31" s="198"/>
      <c r="CD31" s="198">
        <v>85</v>
      </c>
      <c r="CE31" s="198"/>
      <c r="CF31" s="198"/>
      <c r="CG31" s="198">
        <v>60</v>
      </c>
      <c r="CH31" s="198"/>
      <c r="CI31" s="198"/>
      <c r="CJ31" s="198"/>
      <c r="CK31" s="198"/>
      <c r="CL31" s="198"/>
      <c r="CM31" s="198"/>
      <c r="CN31" s="198"/>
      <c r="CO31" s="198"/>
      <c r="CP31" s="198">
        <v>100</v>
      </c>
      <c r="CQ31" s="198"/>
      <c r="CR31" s="198"/>
      <c r="CS31" s="198"/>
      <c r="CT31" s="198"/>
      <c r="CU31" s="198"/>
      <c r="CV31" s="198"/>
      <c r="CW31" s="198"/>
      <c r="CX31" s="198"/>
      <c r="CZ31" s="170">
        <f t="shared" si="0"/>
        <v>725</v>
      </c>
      <c r="EF31" s="123"/>
    </row>
    <row r="32" spans="1:136" ht="12.75">
      <c r="A32" s="149" t="s">
        <v>278</v>
      </c>
      <c r="B32" s="123" t="s">
        <v>18</v>
      </c>
      <c r="F32" s="188"/>
      <c r="G32" s="188"/>
      <c r="J32" s="188"/>
      <c r="N32" s="188"/>
      <c r="P32" s="201"/>
      <c r="Q32" s="188"/>
      <c r="R32" s="201"/>
      <c r="S32" s="201"/>
      <c r="T32" s="198"/>
      <c r="U32" s="198"/>
      <c r="V32" s="198"/>
      <c r="W32" s="198"/>
      <c r="X32" s="198"/>
      <c r="Y32" s="198"/>
      <c r="Z32" s="198"/>
      <c r="AA32" s="198">
        <v>135</v>
      </c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>
        <v>60</v>
      </c>
      <c r="AX32" s="198"/>
      <c r="AY32" s="198"/>
      <c r="AZ32" s="198"/>
      <c r="BA32" s="198"/>
      <c r="BB32" s="198"/>
      <c r="BC32" s="198">
        <v>60</v>
      </c>
      <c r="BD32" s="198">
        <v>80</v>
      </c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>
        <v>240</v>
      </c>
      <c r="BR32" s="198"/>
      <c r="BS32" s="198"/>
      <c r="BT32" s="198"/>
      <c r="BV32" s="198"/>
      <c r="BW32" s="198"/>
      <c r="BX32" s="198"/>
      <c r="BY32" s="198"/>
      <c r="BZ32" s="198"/>
      <c r="CA32" s="198"/>
      <c r="CB32" s="198"/>
      <c r="CC32" s="198"/>
      <c r="CD32" s="198">
        <v>85</v>
      </c>
      <c r="CE32" s="198"/>
      <c r="CF32" s="198"/>
      <c r="CG32" s="198">
        <v>60</v>
      </c>
      <c r="CH32" s="198"/>
      <c r="CI32" s="198"/>
      <c r="CJ32" s="198"/>
      <c r="CK32" s="198"/>
      <c r="CL32" s="198"/>
      <c r="CM32" s="198"/>
      <c r="CN32" s="198"/>
      <c r="CO32" s="198"/>
      <c r="CP32" s="198">
        <v>350</v>
      </c>
      <c r="CQ32" s="198"/>
      <c r="CR32" s="198"/>
      <c r="CS32" s="198"/>
      <c r="CT32" s="198"/>
      <c r="CU32" s="198"/>
      <c r="CV32" s="198"/>
      <c r="CW32" s="198"/>
      <c r="CX32" s="198"/>
      <c r="CZ32" s="170">
        <f t="shared" si="0"/>
        <v>1070</v>
      </c>
      <c r="EF32" s="123"/>
    </row>
    <row r="33" spans="1:151" ht="12.75">
      <c r="A33" s="149" t="s">
        <v>880</v>
      </c>
      <c r="B33" s="123" t="s">
        <v>18</v>
      </c>
      <c r="F33" s="188"/>
      <c r="G33" s="188"/>
      <c r="J33" s="188"/>
      <c r="N33" s="188"/>
      <c r="P33" s="201"/>
      <c r="Q33" s="188"/>
      <c r="R33" s="201"/>
      <c r="S33" s="201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V33" s="198"/>
      <c r="BW33" s="198"/>
      <c r="BX33" s="198"/>
      <c r="BY33" s="198"/>
      <c r="BZ33" s="198"/>
      <c r="CA33" s="198"/>
      <c r="CB33" s="198"/>
      <c r="CC33" s="198"/>
      <c r="CD33" s="198">
        <v>85</v>
      </c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Z33" s="170">
        <f>SUM(C33:CY33)</f>
        <v>85</v>
      </c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205"/>
    </row>
    <row r="34" spans="1:151" ht="12.75">
      <c r="A34" s="149" t="s">
        <v>285</v>
      </c>
      <c r="B34" s="123" t="s">
        <v>19</v>
      </c>
      <c r="F34" s="188"/>
      <c r="G34" s="188"/>
      <c r="J34" s="188"/>
      <c r="N34" s="188"/>
      <c r="P34" s="201"/>
      <c r="Q34" s="188"/>
      <c r="R34" s="201"/>
      <c r="S34" s="201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Z34" s="170">
        <f t="shared" si="0"/>
        <v>0</v>
      </c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205"/>
    </row>
    <row r="35" spans="1:104" ht="12.75">
      <c r="A35" s="149" t="s">
        <v>190</v>
      </c>
      <c r="B35" s="123" t="s">
        <v>21</v>
      </c>
      <c r="E35" s="123">
        <v>380</v>
      </c>
      <c r="F35" s="188"/>
      <c r="G35" s="188"/>
      <c r="H35" s="123">
        <v>190</v>
      </c>
      <c r="I35" s="123">
        <v>190</v>
      </c>
      <c r="J35" s="188"/>
      <c r="K35" s="123">
        <v>210</v>
      </c>
      <c r="L35" s="123">
        <v>190</v>
      </c>
      <c r="M35" s="123">
        <v>350</v>
      </c>
      <c r="N35" s="188"/>
      <c r="O35" s="123">
        <v>150</v>
      </c>
      <c r="P35" s="201"/>
      <c r="Q35" s="188"/>
      <c r="R35" s="201">
        <f>80*1.0885</f>
        <v>87.08</v>
      </c>
      <c r="S35" s="201">
        <f>240*1.0885</f>
        <v>261.24</v>
      </c>
      <c r="T35" s="198">
        <v>165</v>
      </c>
      <c r="U35" s="198">
        <v>170</v>
      </c>
      <c r="V35" s="198"/>
      <c r="W35" s="198"/>
      <c r="X35" s="198">
        <v>200</v>
      </c>
      <c r="Y35" s="198">
        <v>170</v>
      </c>
      <c r="Z35" s="198"/>
      <c r="AA35" s="198">
        <v>275</v>
      </c>
      <c r="AB35" s="198"/>
      <c r="AC35" s="198"/>
      <c r="AD35" s="198">
        <v>130</v>
      </c>
      <c r="AE35" s="198"/>
      <c r="AF35" s="198"/>
      <c r="AG35" s="198"/>
      <c r="AH35" s="198"/>
      <c r="AI35" s="198">
        <v>250</v>
      </c>
      <c r="AJ35" s="198"/>
      <c r="AK35" s="198"/>
      <c r="AL35" s="198"/>
      <c r="AM35" s="198">
        <v>250</v>
      </c>
      <c r="AN35" s="198"/>
      <c r="AO35" s="198"/>
      <c r="AP35" s="198"/>
      <c r="AQ35" s="198"/>
      <c r="AR35" s="198"/>
      <c r="AS35" s="198"/>
      <c r="AT35" s="198">
        <v>310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>
        <v>400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V35" s="198"/>
      <c r="BW35" s="198"/>
      <c r="BX35" s="198"/>
      <c r="BY35" s="198"/>
      <c r="BZ35" s="198"/>
      <c r="CA35" s="198"/>
      <c r="CB35" s="198">
        <v>110</v>
      </c>
      <c r="CC35" s="198"/>
      <c r="CD35" s="198">
        <v>135</v>
      </c>
      <c r="CE35" s="198">
        <v>135</v>
      </c>
      <c r="CF35" s="198"/>
      <c r="CG35" s="198"/>
      <c r="CH35" s="198"/>
      <c r="CI35" s="198"/>
      <c r="CJ35" s="198"/>
      <c r="CK35" s="198"/>
      <c r="CL35" s="198"/>
      <c r="CM35" s="198">
        <v>100</v>
      </c>
      <c r="CN35" s="198"/>
      <c r="CO35" s="198"/>
      <c r="CP35" s="198">
        <v>320</v>
      </c>
      <c r="CQ35" s="198"/>
      <c r="CR35" s="198"/>
      <c r="CS35" s="198"/>
      <c r="CT35" s="198"/>
      <c r="CU35" s="198"/>
      <c r="CV35" s="198"/>
      <c r="CW35" s="198"/>
      <c r="CX35" s="198"/>
      <c r="CZ35" s="170">
        <f t="shared" si="0"/>
        <v>5128.32</v>
      </c>
    </row>
    <row r="36" spans="1:104" ht="12.75">
      <c r="A36" s="149" t="s">
        <v>103</v>
      </c>
      <c r="B36" s="123" t="s">
        <v>21</v>
      </c>
      <c r="F36" s="188"/>
      <c r="G36" s="188"/>
      <c r="H36" s="123">
        <v>190</v>
      </c>
      <c r="I36" s="123">
        <v>190</v>
      </c>
      <c r="J36" s="188"/>
      <c r="M36" s="123">
        <v>180</v>
      </c>
      <c r="N36" s="188"/>
      <c r="P36" s="201"/>
      <c r="Q36" s="188"/>
      <c r="R36" s="201">
        <f>130*1.0885</f>
        <v>141.505</v>
      </c>
      <c r="S36" s="201">
        <f>340*1.0885</f>
        <v>370.09000000000003</v>
      </c>
      <c r="T36" s="198"/>
      <c r="U36" s="198"/>
      <c r="V36" s="198"/>
      <c r="W36" s="198">
        <v>180</v>
      </c>
      <c r="X36" s="198">
        <v>180</v>
      </c>
      <c r="Y36" s="198">
        <v>170</v>
      </c>
      <c r="Z36" s="198"/>
      <c r="AA36" s="198">
        <v>275</v>
      </c>
      <c r="AB36" s="198"/>
      <c r="AC36" s="198"/>
      <c r="AD36" s="198"/>
      <c r="AE36" s="198"/>
      <c r="AF36" s="198"/>
      <c r="AG36" s="198">
        <v>120</v>
      </c>
      <c r="AH36" s="198">
        <v>120</v>
      </c>
      <c r="AI36" s="198"/>
      <c r="AJ36" s="198"/>
      <c r="AK36" s="198">
        <v>120</v>
      </c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>
        <v>110</v>
      </c>
      <c r="AX36" s="198"/>
      <c r="AY36" s="198"/>
      <c r="AZ36" s="198"/>
      <c r="BA36" s="198"/>
      <c r="BB36" s="198"/>
      <c r="BC36" s="198"/>
      <c r="BD36" s="198"/>
      <c r="BE36" s="198"/>
      <c r="BF36" s="198">
        <v>200</v>
      </c>
      <c r="BG36" s="198">
        <v>200</v>
      </c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V36" s="198"/>
      <c r="BW36" s="198"/>
      <c r="BX36" s="198"/>
      <c r="BY36" s="198"/>
      <c r="BZ36" s="198"/>
      <c r="CA36" s="198"/>
      <c r="CB36" s="198">
        <v>110</v>
      </c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>
        <v>100</v>
      </c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Z36" s="170">
        <f t="shared" si="0"/>
        <v>2956.5950000000003</v>
      </c>
    </row>
    <row r="37" spans="1:104" ht="12.75">
      <c r="A37" s="149" t="s">
        <v>104</v>
      </c>
      <c r="B37" s="123" t="s">
        <v>21</v>
      </c>
      <c r="E37" s="123">
        <v>180</v>
      </c>
      <c r="F37" s="188"/>
      <c r="G37" s="188"/>
      <c r="H37" s="123">
        <v>140</v>
      </c>
      <c r="I37" s="123">
        <v>140</v>
      </c>
      <c r="J37" s="188"/>
      <c r="K37" s="123">
        <v>120</v>
      </c>
      <c r="L37" s="123">
        <v>140</v>
      </c>
      <c r="M37" s="123">
        <f>120+80</f>
        <v>200</v>
      </c>
      <c r="N37" s="188"/>
      <c r="P37" s="201"/>
      <c r="Q37" s="188"/>
      <c r="R37" s="201">
        <f>80*1.0885</f>
        <v>87.08</v>
      </c>
      <c r="S37" s="201">
        <f>240*1.0885</f>
        <v>261.24</v>
      </c>
      <c r="T37" s="198">
        <v>90</v>
      </c>
      <c r="U37" s="198"/>
      <c r="V37" s="198"/>
      <c r="W37" s="198"/>
      <c r="X37" s="198">
        <v>90</v>
      </c>
      <c r="Y37" s="198">
        <v>80</v>
      </c>
      <c r="Z37" s="198"/>
      <c r="AA37" s="198">
        <v>180</v>
      </c>
      <c r="AB37" s="198"/>
      <c r="AC37" s="198"/>
      <c r="AD37" s="198">
        <v>70</v>
      </c>
      <c r="AE37" s="198"/>
      <c r="AF37" s="198"/>
      <c r="AG37" s="198">
        <v>60</v>
      </c>
      <c r="AH37" s="198">
        <v>70</v>
      </c>
      <c r="AI37" s="198"/>
      <c r="AJ37" s="198"/>
      <c r="AK37" s="198">
        <v>60</v>
      </c>
      <c r="AL37" s="198"/>
      <c r="AM37" s="198"/>
      <c r="AN37" s="198"/>
      <c r="AO37" s="198"/>
      <c r="AP37" s="198"/>
      <c r="AQ37" s="198"/>
      <c r="AR37" s="198"/>
      <c r="AS37" s="198"/>
      <c r="AT37" s="198"/>
      <c r="AU37" s="198">
        <v>80</v>
      </c>
      <c r="AV37" s="198"/>
      <c r="AW37" s="198">
        <v>60</v>
      </c>
      <c r="AX37" s="198"/>
      <c r="AY37" s="198"/>
      <c r="AZ37" s="198"/>
      <c r="BA37" s="198"/>
      <c r="BB37" s="198"/>
      <c r="BC37" s="198"/>
      <c r="BD37" s="198">
        <v>80</v>
      </c>
      <c r="BE37" s="198"/>
      <c r="BF37" s="198">
        <v>100</v>
      </c>
      <c r="BG37" s="198">
        <v>100</v>
      </c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V37" s="198"/>
      <c r="BW37" s="198"/>
      <c r="BX37" s="198"/>
      <c r="BY37" s="198"/>
      <c r="BZ37" s="198"/>
      <c r="CA37" s="198"/>
      <c r="CB37" s="198">
        <v>60</v>
      </c>
      <c r="CC37" s="198"/>
      <c r="CD37" s="198">
        <v>85</v>
      </c>
      <c r="CE37" s="198">
        <v>75</v>
      </c>
      <c r="CF37" s="198"/>
      <c r="CG37" s="198"/>
      <c r="CH37" s="198"/>
      <c r="CI37" s="198">
        <v>75</v>
      </c>
      <c r="CJ37" s="198"/>
      <c r="CK37" s="198"/>
      <c r="CL37" s="198"/>
      <c r="CM37" s="198"/>
      <c r="CN37" s="198">
        <v>50</v>
      </c>
      <c r="CO37" s="198"/>
      <c r="CP37" s="198">
        <v>200</v>
      </c>
      <c r="CQ37" s="198"/>
      <c r="CR37" s="198"/>
      <c r="CS37" s="198"/>
      <c r="CT37" s="198"/>
      <c r="CU37" s="198"/>
      <c r="CV37" s="198"/>
      <c r="CW37" s="198"/>
      <c r="CX37" s="198"/>
      <c r="CZ37" s="170">
        <f t="shared" si="0"/>
        <v>2933.32</v>
      </c>
    </row>
    <row r="38" spans="1:104" ht="12.75">
      <c r="A38" s="149" t="s">
        <v>189</v>
      </c>
      <c r="B38" s="123" t="s">
        <v>21</v>
      </c>
      <c r="E38" s="123">
        <v>240</v>
      </c>
      <c r="F38" s="188"/>
      <c r="G38" s="188"/>
      <c r="H38" s="123">
        <v>190</v>
      </c>
      <c r="I38" s="123">
        <v>190</v>
      </c>
      <c r="J38" s="188"/>
      <c r="K38" s="123">
        <v>210</v>
      </c>
      <c r="L38" s="123">
        <v>190</v>
      </c>
      <c r="M38" s="123">
        <v>180</v>
      </c>
      <c r="N38" s="188"/>
      <c r="O38" s="123">
        <v>300</v>
      </c>
      <c r="P38" s="201"/>
      <c r="Q38" s="188"/>
      <c r="R38" s="201">
        <f>130*1.0885</f>
        <v>141.505</v>
      </c>
      <c r="S38" s="201">
        <f>340*1.0885</f>
        <v>370.09000000000003</v>
      </c>
      <c r="T38" s="198"/>
      <c r="U38" s="198"/>
      <c r="V38" s="198"/>
      <c r="W38" s="198">
        <v>180</v>
      </c>
      <c r="X38" s="198">
        <v>180</v>
      </c>
      <c r="Y38" s="198">
        <v>170</v>
      </c>
      <c r="Z38" s="198"/>
      <c r="AA38" s="198"/>
      <c r="AB38" s="198"/>
      <c r="AC38" s="198"/>
      <c r="AD38" s="198">
        <v>130</v>
      </c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>
        <v>200</v>
      </c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V38" s="198"/>
      <c r="BW38" s="198"/>
      <c r="BX38" s="198"/>
      <c r="BY38" s="198"/>
      <c r="BZ38" s="198"/>
      <c r="CA38" s="198"/>
      <c r="CB38" s="198">
        <v>110</v>
      </c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>
        <v>100</v>
      </c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Z38" s="170">
        <f t="shared" si="0"/>
        <v>3081.5950000000003</v>
      </c>
    </row>
    <row r="39" spans="1:104" ht="12" customHeight="1">
      <c r="A39" s="149" t="s">
        <v>191</v>
      </c>
      <c r="B39" s="123" t="s">
        <v>21</v>
      </c>
      <c r="E39" s="123">
        <v>240</v>
      </c>
      <c r="F39" s="188">
        <v>60</v>
      </c>
      <c r="G39" s="188"/>
      <c r="H39" s="123">
        <v>190</v>
      </c>
      <c r="I39" s="123">
        <v>190</v>
      </c>
      <c r="J39" s="188"/>
      <c r="K39" s="123">
        <v>210</v>
      </c>
      <c r="L39" s="123">
        <v>190</v>
      </c>
      <c r="M39" s="123">
        <v>350</v>
      </c>
      <c r="N39" s="188"/>
      <c r="P39" s="201"/>
      <c r="Q39" s="188">
        <v>60</v>
      </c>
      <c r="R39" s="201"/>
      <c r="S39" s="201"/>
      <c r="T39" s="198">
        <v>165</v>
      </c>
      <c r="U39" s="198">
        <v>170</v>
      </c>
      <c r="V39" s="198">
        <v>210</v>
      </c>
      <c r="W39" s="198">
        <v>125</v>
      </c>
      <c r="X39" s="198">
        <v>200</v>
      </c>
      <c r="Y39" s="198">
        <v>170</v>
      </c>
      <c r="Z39" s="198"/>
      <c r="AA39" s="198">
        <v>275</v>
      </c>
      <c r="AB39" s="198"/>
      <c r="AC39" s="198"/>
      <c r="AD39" s="198">
        <v>130</v>
      </c>
      <c r="AE39" s="198"/>
      <c r="AF39" s="198"/>
      <c r="AG39" s="198"/>
      <c r="AH39" s="198"/>
      <c r="AI39" s="198">
        <v>250</v>
      </c>
      <c r="AJ39" s="198"/>
      <c r="AK39" s="198"/>
      <c r="AL39" s="198"/>
      <c r="AM39" s="198">
        <v>250</v>
      </c>
      <c r="AN39" s="198"/>
      <c r="AO39" s="198"/>
      <c r="AP39" s="198"/>
      <c r="AQ39" s="198"/>
      <c r="AR39" s="198"/>
      <c r="AS39" s="198"/>
      <c r="AT39" s="198">
        <v>310</v>
      </c>
      <c r="AU39" s="198">
        <v>160</v>
      </c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>
        <v>120</v>
      </c>
      <c r="BH39" s="198">
        <v>200</v>
      </c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V39" s="198"/>
      <c r="BW39" s="198"/>
      <c r="BX39" s="198"/>
      <c r="BY39" s="198"/>
      <c r="BZ39" s="198"/>
      <c r="CA39" s="198"/>
      <c r="CB39" s="198">
        <v>110</v>
      </c>
      <c r="CC39" s="198"/>
      <c r="CD39" s="198">
        <v>135</v>
      </c>
      <c r="CE39" s="198">
        <v>135</v>
      </c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>
        <v>320</v>
      </c>
      <c r="CQ39" s="198">
        <v>60</v>
      </c>
      <c r="CR39" s="198">
        <v>280</v>
      </c>
      <c r="CS39" s="198"/>
      <c r="CT39" s="198">
        <v>60</v>
      </c>
      <c r="CU39" s="198"/>
      <c r="CV39" s="198">
        <f>527/3</f>
        <v>175.66666666666666</v>
      </c>
      <c r="CW39" s="198"/>
      <c r="CX39" s="198">
        <v>60</v>
      </c>
      <c r="CZ39" s="170">
        <f t="shared" si="0"/>
        <v>5560.666666666667</v>
      </c>
    </row>
    <row r="40" spans="1:104" ht="12.75">
      <c r="A40" s="149" t="s">
        <v>92</v>
      </c>
      <c r="B40" s="123" t="s">
        <v>19</v>
      </c>
      <c r="F40" s="188"/>
      <c r="G40" s="188"/>
      <c r="J40" s="188"/>
      <c r="N40" s="188"/>
      <c r="P40" s="201"/>
      <c r="Q40" s="188"/>
      <c r="R40" s="201"/>
      <c r="S40" s="201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V40" s="198"/>
      <c r="BW40" s="198"/>
      <c r="BX40" s="198"/>
      <c r="BY40" s="198"/>
      <c r="BZ40" s="198"/>
      <c r="CA40" s="198"/>
      <c r="CB40" s="198"/>
      <c r="CC40" s="198"/>
      <c r="CD40" s="198">
        <v>215</v>
      </c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Z40" s="170">
        <f t="shared" si="0"/>
        <v>215</v>
      </c>
    </row>
    <row r="41" spans="1:104" ht="12.75">
      <c r="A41" s="149" t="s">
        <v>93</v>
      </c>
      <c r="B41" s="123" t="s">
        <v>19</v>
      </c>
      <c r="F41" s="188"/>
      <c r="G41" s="188"/>
      <c r="J41" s="188"/>
      <c r="N41" s="188"/>
      <c r="P41" s="201"/>
      <c r="Q41" s="188"/>
      <c r="R41" s="201"/>
      <c r="S41" s="201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Z41" s="170">
        <f t="shared" si="0"/>
        <v>0</v>
      </c>
    </row>
    <row r="42" spans="1:104" ht="12.75">
      <c r="A42" s="149" t="s">
        <v>204</v>
      </c>
      <c r="B42" s="123" t="s">
        <v>19</v>
      </c>
      <c r="F42" s="188"/>
      <c r="G42" s="188"/>
      <c r="J42" s="188"/>
      <c r="N42" s="188"/>
      <c r="P42" s="201"/>
      <c r="Q42" s="188"/>
      <c r="R42" s="201"/>
      <c r="S42" s="201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>
        <f>300+50</f>
        <v>350</v>
      </c>
      <c r="CQ42" s="198"/>
      <c r="CR42" s="198"/>
      <c r="CS42" s="198"/>
      <c r="CT42" s="198"/>
      <c r="CU42" s="198"/>
      <c r="CV42" s="198"/>
      <c r="CW42" s="198"/>
      <c r="CX42" s="198"/>
      <c r="CZ42" s="170">
        <f t="shared" si="0"/>
        <v>350</v>
      </c>
    </row>
    <row r="43" spans="1:151" ht="12.75">
      <c r="A43" s="149" t="s">
        <v>284</v>
      </c>
      <c r="B43" s="123" t="s">
        <v>19</v>
      </c>
      <c r="F43" s="188"/>
      <c r="G43" s="188"/>
      <c r="J43" s="188"/>
      <c r="N43" s="188"/>
      <c r="P43" s="201"/>
      <c r="Q43" s="188"/>
      <c r="R43" s="201"/>
      <c r="S43" s="201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Z43" s="170">
        <f t="shared" si="0"/>
        <v>0</v>
      </c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205"/>
    </row>
    <row r="44" spans="1:104" ht="12.75">
      <c r="A44" s="149" t="s">
        <v>232</v>
      </c>
      <c r="B44" s="123" t="s">
        <v>19</v>
      </c>
      <c r="F44" s="188"/>
      <c r="G44" s="188"/>
      <c r="J44" s="188"/>
      <c r="N44" s="188"/>
      <c r="P44" s="201"/>
      <c r="Q44" s="188"/>
      <c r="R44" s="201"/>
      <c r="S44" s="201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Z44" s="170">
        <f t="shared" si="0"/>
        <v>0</v>
      </c>
    </row>
    <row r="45" spans="1:151" ht="12.75">
      <c r="A45" s="149" t="s">
        <v>283</v>
      </c>
      <c r="B45" s="123" t="s">
        <v>19</v>
      </c>
      <c r="F45" s="188"/>
      <c r="G45" s="188"/>
      <c r="J45" s="188"/>
      <c r="N45" s="188"/>
      <c r="P45" s="201"/>
      <c r="Q45" s="188"/>
      <c r="R45" s="201"/>
      <c r="S45" s="201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Z45" s="170">
        <f t="shared" si="0"/>
        <v>0</v>
      </c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205"/>
    </row>
    <row r="46" spans="1:151" ht="12.75">
      <c r="A46" s="149" t="s">
        <v>269</v>
      </c>
      <c r="B46" s="123" t="s">
        <v>152</v>
      </c>
      <c r="F46" s="188"/>
      <c r="G46" s="188"/>
      <c r="J46" s="188"/>
      <c r="N46" s="188"/>
      <c r="P46" s="201"/>
      <c r="Q46" s="188"/>
      <c r="R46" s="201"/>
      <c r="S46" s="201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V46" s="198"/>
      <c r="BW46" s="198"/>
      <c r="BX46" s="198"/>
      <c r="BY46" s="198"/>
      <c r="BZ46" s="198"/>
      <c r="CA46" s="198"/>
      <c r="CB46" s="198"/>
      <c r="CC46" s="198"/>
      <c r="CD46" s="198">
        <v>85</v>
      </c>
      <c r="CE46" s="198"/>
      <c r="CF46" s="198"/>
      <c r="CG46" s="198"/>
      <c r="CH46" s="198"/>
      <c r="CI46" s="198">
        <v>65</v>
      </c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Z46" s="170">
        <f>SUM(C46:CY46)</f>
        <v>150</v>
      </c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205"/>
    </row>
    <row r="47" spans="1:151" ht="12.75">
      <c r="A47" s="149" t="s">
        <v>872</v>
      </c>
      <c r="B47" s="123" t="s">
        <v>152</v>
      </c>
      <c r="F47" s="188"/>
      <c r="G47" s="188"/>
      <c r="J47" s="188"/>
      <c r="N47" s="188"/>
      <c r="P47" s="201"/>
      <c r="Q47" s="188"/>
      <c r="R47" s="201"/>
      <c r="S47" s="201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V47" s="198"/>
      <c r="BW47" s="198"/>
      <c r="BX47" s="198"/>
      <c r="BY47" s="198"/>
      <c r="BZ47" s="198"/>
      <c r="CA47" s="198"/>
      <c r="CB47" s="198"/>
      <c r="CC47" s="198"/>
      <c r="CD47" s="198">
        <v>135</v>
      </c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Z47" s="170">
        <f t="shared" si="0"/>
        <v>135</v>
      </c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205"/>
    </row>
    <row r="48" spans="1:150" ht="12.75">
      <c r="A48" s="149" t="s">
        <v>66</v>
      </c>
      <c r="B48" s="123" t="s">
        <v>18</v>
      </c>
      <c r="F48" s="188"/>
      <c r="G48" s="188"/>
      <c r="J48" s="188"/>
      <c r="N48" s="188"/>
      <c r="P48" s="201"/>
      <c r="Q48" s="188"/>
      <c r="R48" s="201"/>
      <c r="S48" s="201"/>
      <c r="T48" s="198"/>
      <c r="U48" s="198"/>
      <c r="V48" s="198"/>
      <c r="W48" s="198"/>
      <c r="X48" s="198">
        <v>90</v>
      </c>
      <c r="Y48" s="198">
        <v>80</v>
      </c>
      <c r="Z48" s="198">
        <v>80</v>
      </c>
      <c r="AA48" s="198">
        <v>130</v>
      </c>
      <c r="AB48" s="198"/>
      <c r="AC48" s="198"/>
      <c r="AD48" s="198">
        <v>70</v>
      </c>
      <c r="AE48" s="198"/>
      <c r="AF48" s="198"/>
      <c r="AG48" s="198">
        <v>60</v>
      </c>
      <c r="AH48" s="198">
        <v>70</v>
      </c>
      <c r="AI48" s="198"/>
      <c r="AJ48" s="198"/>
      <c r="AK48" s="198">
        <v>60</v>
      </c>
      <c r="AL48" s="198"/>
      <c r="AM48" s="198"/>
      <c r="AN48" s="198">
        <v>80</v>
      </c>
      <c r="AO48" s="198"/>
      <c r="AP48" s="198">
        <v>80</v>
      </c>
      <c r="AQ48" s="198"/>
      <c r="AR48" s="198"/>
      <c r="AS48" s="198"/>
      <c r="AT48" s="198"/>
      <c r="AU48" s="198">
        <v>80</v>
      </c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>
        <v>150</v>
      </c>
      <c r="BG48" s="198">
        <v>150</v>
      </c>
      <c r="BH48" s="198"/>
      <c r="BI48" s="198"/>
      <c r="BJ48" s="198"/>
      <c r="BK48" s="198"/>
      <c r="BL48" s="198"/>
      <c r="BM48" s="198">
        <v>60</v>
      </c>
      <c r="BN48" s="198"/>
      <c r="BO48" s="198"/>
      <c r="BP48" s="198"/>
      <c r="BQ48" s="198"/>
      <c r="BR48" s="198"/>
      <c r="BS48" s="198"/>
      <c r="BT48" s="198"/>
      <c r="BV48" s="198"/>
      <c r="BW48" s="198"/>
      <c r="BX48" s="198"/>
      <c r="BY48" s="198">
        <v>80</v>
      </c>
      <c r="BZ48" s="198"/>
      <c r="CA48" s="198"/>
      <c r="CB48" s="198">
        <v>60</v>
      </c>
      <c r="CC48" s="198"/>
      <c r="CD48" s="198">
        <v>85</v>
      </c>
      <c r="CE48" s="198">
        <v>75</v>
      </c>
      <c r="CF48" s="198"/>
      <c r="CG48" s="198"/>
      <c r="CH48" s="198"/>
      <c r="CI48" s="198"/>
      <c r="CJ48" s="198">
        <v>60</v>
      </c>
      <c r="CK48" s="198">
        <v>60</v>
      </c>
      <c r="CL48" s="198">
        <v>70</v>
      </c>
      <c r="CM48" s="198"/>
      <c r="CN48" s="198"/>
      <c r="CO48" s="198"/>
      <c r="CP48" s="198">
        <v>200</v>
      </c>
      <c r="CQ48" s="198"/>
      <c r="CR48" s="198"/>
      <c r="CS48" s="198"/>
      <c r="CT48" s="198"/>
      <c r="CU48" s="198"/>
      <c r="CV48" s="198"/>
      <c r="CW48" s="198"/>
      <c r="CX48" s="198"/>
      <c r="CZ48" s="170">
        <f t="shared" si="0"/>
        <v>1930</v>
      </c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</row>
    <row r="49" spans="1:150" ht="12.75">
      <c r="A49" s="149" t="s">
        <v>240</v>
      </c>
      <c r="B49" s="123" t="s">
        <v>18</v>
      </c>
      <c r="F49" s="188"/>
      <c r="G49" s="188"/>
      <c r="J49" s="188"/>
      <c r="N49" s="188"/>
      <c r="P49" s="201"/>
      <c r="Q49" s="188"/>
      <c r="R49" s="201"/>
      <c r="S49" s="201"/>
      <c r="T49" s="198"/>
      <c r="U49" s="198"/>
      <c r="V49" s="198"/>
      <c r="W49" s="198"/>
      <c r="X49" s="198">
        <v>200</v>
      </c>
      <c r="Y49" s="198"/>
      <c r="Z49" s="198"/>
      <c r="AA49" s="198">
        <v>275</v>
      </c>
      <c r="AB49" s="198"/>
      <c r="AC49" s="198"/>
      <c r="AD49" s="198"/>
      <c r="AE49" s="198"/>
      <c r="AF49" s="198"/>
      <c r="AG49" s="198"/>
      <c r="AH49" s="198"/>
      <c r="AI49" s="198">
        <v>250</v>
      </c>
      <c r="AJ49" s="198"/>
      <c r="AK49" s="198"/>
      <c r="AL49" s="198"/>
      <c r="AM49" s="198">
        <v>250</v>
      </c>
      <c r="AN49" s="198"/>
      <c r="AO49" s="198"/>
      <c r="AP49" s="198"/>
      <c r="AQ49" s="198"/>
      <c r="AR49" s="198"/>
      <c r="AS49" s="198">
        <v>170</v>
      </c>
      <c r="AT49" s="198"/>
      <c r="AU49" s="198"/>
      <c r="AV49" s="198"/>
      <c r="AW49" s="198"/>
      <c r="AX49" s="198"/>
      <c r="AY49" s="198">
        <v>110</v>
      </c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V49" s="198"/>
      <c r="BW49" s="198"/>
      <c r="BX49" s="198"/>
      <c r="BY49" s="198"/>
      <c r="BZ49" s="198"/>
      <c r="CA49" s="198"/>
      <c r="CB49" s="198"/>
      <c r="CC49" s="198"/>
      <c r="CD49" s="198">
        <v>135</v>
      </c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Z49" s="170">
        <f t="shared" si="0"/>
        <v>1390</v>
      </c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</row>
    <row r="50" spans="1:151" ht="12.75">
      <c r="A50" s="149" t="s">
        <v>164</v>
      </c>
      <c r="B50" s="123" t="s">
        <v>152</v>
      </c>
      <c r="F50" s="188"/>
      <c r="G50" s="188"/>
      <c r="J50" s="188"/>
      <c r="N50" s="188"/>
      <c r="P50" s="201"/>
      <c r="Q50" s="188"/>
      <c r="R50" s="201"/>
      <c r="S50" s="201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Z50" s="170">
        <f t="shared" si="0"/>
        <v>0</v>
      </c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205"/>
    </row>
    <row r="51" spans="1:151" ht="12.75">
      <c r="A51" s="149" t="s">
        <v>67</v>
      </c>
      <c r="B51" s="123" t="s">
        <v>18</v>
      </c>
      <c r="F51" s="188"/>
      <c r="G51" s="188"/>
      <c r="J51" s="188"/>
      <c r="N51" s="188"/>
      <c r="P51" s="201"/>
      <c r="Q51" s="188"/>
      <c r="R51" s="201"/>
      <c r="S51" s="201"/>
      <c r="T51" s="198"/>
      <c r="U51" s="198"/>
      <c r="V51" s="198"/>
      <c r="W51" s="198"/>
      <c r="X51" s="198"/>
      <c r="Y51" s="198"/>
      <c r="Z51" s="198">
        <v>170</v>
      </c>
      <c r="AA51" s="198"/>
      <c r="AB51" s="198"/>
      <c r="AC51" s="198">
        <v>120</v>
      </c>
      <c r="AD51" s="198"/>
      <c r="AE51" s="198"/>
      <c r="AF51" s="198">
        <v>110</v>
      </c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>
        <v>160</v>
      </c>
      <c r="AV51" s="198"/>
      <c r="AW51" s="198">
        <v>110</v>
      </c>
      <c r="AX51" s="198">
        <v>200</v>
      </c>
      <c r="AY51" s="198"/>
      <c r="AZ51" s="198">
        <v>130</v>
      </c>
      <c r="BA51" s="198"/>
      <c r="BB51" s="198"/>
      <c r="BC51" s="198"/>
      <c r="BD51" s="198"/>
      <c r="BE51" s="198"/>
      <c r="BF51" s="198">
        <v>200</v>
      </c>
      <c r="BG51" s="198">
        <v>200</v>
      </c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V51" s="198"/>
      <c r="BW51" s="198"/>
      <c r="BX51" s="198"/>
      <c r="BY51" s="198">
        <v>320</v>
      </c>
      <c r="BZ51" s="198">
        <v>180</v>
      </c>
      <c r="CA51" s="198">
        <v>180</v>
      </c>
      <c r="CB51" s="198"/>
      <c r="CC51" s="198"/>
      <c r="CD51" s="198"/>
      <c r="CE51" s="198">
        <v>135</v>
      </c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Z51" s="170">
        <f t="shared" si="0"/>
        <v>2215</v>
      </c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205"/>
    </row>
    <row r="52" spans="1:104" ht="12.75">
      <c r="A52" s="149" t="s">
        <v>621</v>
      </c>
      <c r="B52" s="123" t="s">
        <v>17</v>
      </c>
      <c r="F52" s="188"/>
      <c r="G52" s="188"/>
      <c r="J52" s="188"/>
      <c r="N52" s="188"/>
      <c r="P52" s="201"/>
      <c r="Q52" s="188"/>
      <c r="R52" s="201"/>
      <c r="S52" s="201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>
        <v>110</v>
      </c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Z52" s="170">
        <f t="shared" si="0"/>
        <v>110</v>
      </c>
    </row>
    <row r="53" spans="1:104" ht="12.75">
      <c r="A53" s="149" t="s">
        <v>622</v>
      </c>
      <c r="B53" s="123" t="s">
        <v>17</v>
      </c>
      <c r="F53" s="188"/>
      <c r="G53" s="188"/>
      <c r="J53" s="188"/>
      <c r="N53" s="188"/>
      <c r="P53" s="201"/>
      <c r="Q53" s="188"/>
      <c r="R53" s="201"/>
      <c r="S53" s="201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>
        <v>110</v>
      </c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Z53" s="170">
        <f t="shared" si="0"/>
        <v>110</v>
      </c>
    </row>
    <row r="54" spans="1:104" ht="12.75">
      <c r="A54" s="149" t="s">
        <v>105</v>
      </c>
      <c r="B54" s="123" t="s">
        <v>21</v>
      </c>
      <c r="F54" s="188"/>
      <c r="G54" s="188"/>
      <c r="J54" s="188"/>
      <c r="N54" s="188"/>
      <c r="P54" s="201"/>
      <c r="Q54" s="188"/>
      <c r="R54" s="201"/>
      <c r="S54" s="201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>
        <v>120</v>
      </c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Z54" s="170">
        <f t="shared" si="0"/>
        <v>120</v>
      </c>
    </row>
    <row r="55" spans="1:104" ht="12.75">
      <c r="A55" s="149" t="s">
        <v>586</v>
      </c>
      <c r="B55" s="123" t="s">
        <v>18</v>
      </c>
      <c r="F55" s="188"/>
      <c r="G55" s="188"/>
      <c r="J55" s="188"/>
      <c r="N55" s="188"/>
      <c r="P55" s="201"/>
      <c r="Q55" s="188"/>
      <c r="R55" s="201"/>
      <c r="S55" s="201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>
        <v>120</v>
      </c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>
        <v>130</v>
      </c>
      <c r="AY55" s="198"/>
      <c r="AZ55" s="198"/>
      <c r="BA55" s="198"/>
      <c r="BB55" s="198"/>
      <c r="BC55" s="198"/>
      <c r="BD55" s="198"/>
      <c r="BE55" s="198"/>
      <c r="BF55" s="198">
        <v>200</v>
      </c>
      <c r="BG55" s="198">
        <v>200</v>
      </c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V55" s="198"/>
      <c r="BW55" s="198"/>
      <c r="BX55" s="198"/>
      <c r="BY55" s="198"/>
      <c r="BZ55" s="198"/>
      <c r="CA55" s="198"/>
      <c r="CB55" s="198"/>
      <c r="CC55" s="198"/>
      <c r="CD55" s="198">
        <v>135</v>
      </c>
      <c r="CE55" s="198">
        <v>135</v>
      </c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Z55" s="170">
        <f t="shared" si="0"/>
        <v>920</v>
      </c>
    </row>
    <row r="56" spans="1:104" ht="12.75">
      <c r="A56" s="149" t="s">
        <v>481</v>
      </c>
      <c r="B56" s="123" t="s">
        <v>20</v>
      </c>
      <c r="F56" s="188"/>
      <c r="G56" s="188"/>
      <c r="J56" s="188"/>
      <c r="N56" s="188"/>
      <c r="P56" s="201"/>
      <c r="Q56" s="188"/>
      <c r="R56" s="201"/>
      <c r="S56" s="201"/>
      <c r="T56" s="198"/>
      <c r="U56" s="198"/>
      <c r="V56" s="198"/>
      <c r="W56" s="198"/>
      <c r="X56" s="198"/>
      <c r="Y56" s="198"/>
      <c r="Z56" s="198"/>
      <c r="AA56" s="198"/>
      <c r="AB56" s="198"/>
      <c r="AC56" s="198">
        <v>60</v>
      </c>
      <c r="AD56" s="198"/>
      <c r="AE56" s="198"/>
      <c r="AF56" s="198">
        <v>60</v>
      </c>
      <c r="AG56" s="198"/>
      <c r="AH56" s="198"/>
      <c r="AI56" s="198"/>
      <c r="AJ56" s="198"/>
      <c r="AK56" s="198"/>
      <c r="AL56" s="198"/>
      <c r="AM56" s="198"/>
      <c r="AN56" s="198"/>
      <c r="AO56" s="198">
        <v>90</v>
      </c>
      <c r="AP56" s="198"/>
      <c r="AQ56" s="198">
        <v>90</v>
      </c>
      <c r="AR56" s="198"/>
      <c r="AS56" s="198"/>
      <c r="AT56" s="198"/>
      <c r="AU56" s="198"/>
      <c r="AV56" s="198"/>
      <c r="AW56" s="198">
        <f>60+30</f>
        <v>90</v>
      </c>
      <c r="AX56" s="198">
        <v>70</v>
      </c>
      <c r="AY56" s="198"/>
      <c r="AZ56" s="198"/>
      <c r="BA56" s="198"/>
      <c r="BB56" s="198"/>
      <c r="BC56" s="198"/>
      <c r="BD56" s="198"/>
      <c r="BE56" s="198"/>
      <c r="BF56" s="198">
        <v>100</v>
      </c>
      <c r="BG56" s="198">
        <v>100</v>
      </c>
      <c r="BH56" s="198"/>
      <c r="BI56" s="198"/>
      <c r="BJ56" s="198"/>
      <c r="BK56" s="198"/>
      <c r="BL56" s="198">
        <f>100*84.9885/100</f>
        <v>84.9885</v>
      </c>
      <c r="BM56" s="198"/>
      <c r="BN56" s="198"/>
      <c r="BO56" s="198"/>
      <c r="BP56" s="198"/>
      <c r="BQ56" s="198"/>
      <c r="BR56" s="198"/>
      <c r="BS56" s="198"/>
      <c r="BT56" s="198"/>
      <c r="BU56" s="170">
        <f>(70+70)*0.8602</f>
        <v>120.428</v>
      </c>
      <c r="BV56" s="198"/>
      <c r="BW56" s="198"/>
      <c r="BX56" s="198"/>
      <c r="BY56" s="198"/>
      <c r="BZ56" s="198"/>
      <c r="CA56" s="198"/>
      <c r="CB56" s="198"/>
      <c r="CC56" s="198">
        <v>50</v>
      </c>
      <c r="CD56" s="198">
        <v>85</v>
      </c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Z56" s="170">
        <f t="shared" si="0"/>
        <v>1000.4165</v>
      </c>
    </row>
    <row r="57" spans="1:104" ht="12.75">
      <c r="A57" s="149" t="s">
        <v>101</v>
      </c>
      <c r="B57" s="123" t="s">
        <v>20</v>
      </c>
      <c r="D57" s="123">
        <v>100</v>
      </c>
      <c r="F57" s="188"/>
      <c r="G57" s="188"/>
      <c r="J57" s="188"/>
      <c r="N57" s="188"/>
      <c r="P57" s="201"/>
      <c r="Q57" s="188"/>
      <c r="R57" s="201"/>
      <c r="S57" s="201"/>
      <c r="T57" s="198"/>
      <c r="U57" s="198"/>
      <c r="V57" s="198"/>
      <c r="W57" s="198"/>
      <c r="X57" s="198"/>
      <c r="Y57" s="198"/>
      <c r="Z57" s="198"/>
      <c r="AA57" s="198"/>
      <c r="AB57" s="198"/>
      <c r="AC57" s="198">
        <v>120</v>
      </c>
      <c r="AD57" s="198"/>
      <c r="AE57" s="198"/>
      <c r="AF57" s="198">
        <v>110</v>
      </c>
      <c r="AG57" s="198"/>
      <c r="AH57" s="198"/>
      <c r="AI57" s="198"/>
      <c r="AJ57" s="198"/>
      <c r="AK57" s="198"/>
      <c r="AL57" s="198"/>
      <c r="AM57" s="198"/>
      <c r="AN57" s="198"/>
      <c r="AO57" s="198">
        <v>170</v>
      </c>
      <c r="AP57" s="198"/>
      <c r="AQ57" s="198">
        <v>170</v>
      </c>
      <c r="AR57" s="198"/>
      <c r="AS57" s="198"/>
      <c r="AT57" s="198"/>
      <c r="AU57" s="198"/>
      <c r="AV57" s="198"/>
      <c r="AW57" s="198">
        <v>110</v>
      </c>
      <c r="AX57" s="198">
        <v>130</v>
      </c>
      <c r="AY57" s="198"/>
      <c r="AZ57" s="198"/>
      <c r="BA57" s="198"/>
      <c r="BB57" s="198"/>
      <c r="BC57" s="198"/>
      <c r="BD57" s="198"/>
      <c r="BE57" s="198"/>
      <c r="BF57" s="198">
        <v>200</v>
      </c>
      <c r="BG57" s="198">
        <v>200</v>
      </c>
      <c r="BH57" s="198"/>
      <c r="BI57" s="198"/>
      <c r="BJ57" s="198"/>
      <c r="BK57" s="198">
        <v>45</v>
      </c>
      <c r="BL57" s="198">
        <f>220*84.9885/100</f>
        <v>186.9747</v>
      </c>
      <c r="BM57" s="198"/>
      <c r="BN57" s="198"/>
      <c r="BO57" s="198"/>
      <c r="BP57" s="198"/>
      <c r="BQ57" s="198"/>
      <c r="BR57" s="198"/>
      <c r="BS57" s="198"/>
      <c r="BT57" s="198"/>
      <c r="BU57" s="170">
        <f>(90+90+90+90)*0.8602</f>
        <v>309.67199999999997</v>
      </c>
      <c r="BV57" s="198"/>
      <c r="BW57" s="198"/>
      <c r="BX57" s="198"/>
      <c r="BY57" s="198"/>
      <c r="BZ57" s="198">
        <v>180</v>
      </c>
      <c r="CA57" s="198">
        <v>180</v>
      </c>
      <c r="CB57" s="198"/>
      <c r="CC57" s="198">
        <v>120</v>
      </c>
      <c r="CD57" s="198">
        <v>135</v>
      </c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>
        <f>60*649.5/740</f>
        <v>52.66216216216216</v>
      </c>
      <c r="CV57" s="198"/>
      <c r="CW57" s="198">
        <f>60*649.5/740</f>
        <v>52.66216216216216</v>
      </c>
      <c r="CX57" s="198"/>
      <c r="CZ57" s="170">
        <f t="shared" si="0"/>
        <v>2571.9710243243244</v>
      </c>
    </row>
    <row r="58" spans="1:104" ht="12.75">
      <c r="A58" s="149" t="s">
        <v>102</v>
      </c>
      <c r="B58" s="123" t="s">
        <v>20</v>
      </c>
      <c r="D58" s="123">
        <v>100</v>
      </c>
      <c r="F58" s="188"/>
      <c r="G58" s="188"/>
      <c r="J58" s="188"/>
      <c r="N58" s="188"/>
      <c r="P58" s="201"/>
      <c r="Q58" s="188"/>
      <c r="R58" s="201"/>
      <c r="S58" s="201"/>
      <c r="T58" s="198"/>
      <c r="U58" s="198"/>
      <c r="V58" s="198"/>
      <c r="W58" s="198"/>
      <c r="X58" s="198"/>
      <c r="Y58" s="198"/>
      <c r="Z58" s="198"/>
      <c r="AA58" s="198"/>
      <c r="AB58" s="198"/>
      <c r="AC58" s="198">
        <v>120</v>
      </c>
      <c r="AD58" s="198"/>
      <c r="AE58" s="198">
        <v>110</v>
      </c>
      <c r="AF58" s="198">
        <v>110</v>
      </c>
      <c r="AG58" s="198"/>
      <c r="AH58" s="198">
        <v>120</v>
      </c>
      <c r="AI58" s="198"/>
      <c r="AJ58" s="198"/>
      <c r="AK58" s="198"/>
      <c r="AL58" s="198"/>
      <c r="AM58" s="198"/>
      <c r="AN58" s="198"/>
      <c r="AO58" s="198">
        <v>170</v>
      </c>
      <c r="AP58" s="198"/>
      <c r="AQ58" s="198">
        <v>170</v>
      </c>
      <c r="AR58" s="198"/>
      <c r="AS58" s="198"/>
      <c r="AT58" s="198"/>
      <c r="AU58" s="198"/>
      <c r="AV58" s="198"/>
      <c r="AW58" s="198">
        <v>110</v>
      </c>
      <c r="AX58" s="198">
        <v>130</v>
      </c>
      <c r="AY58" s="198"/>
      <c r="AZ58" s="198"/>
      <c r="BA58" s="198"/>
      <c r="BB58" s="198"/>
      <c r="BC58" s="198"/>
      <c r="BD58" s="198"/>
      <c r="BE58" s="198"/>
      <c r="BF58" s="198">
        <v>200</v>
      </c>
      <c r="BG58" s="198">
        <v>200</v>
      </c>
      <c r="BH58" s="198"/>
      <c r="BI58" s="198"/>
      <c r="BJ58" s="198"/>
      <c r="BK58" s="198">
        <v>45</v>
      </c>
      <c r="BL58" s="198">
        <f>220*84.9885/100</f>
        <v>186.9747</v>
      </c>
      <c r="BM58" s="198"/>
      <c r="BN58" s="198"/>
      <c r="BO58" s="198"/>
      <c r="BP58" s="198"/>
      <c r="BQ58" s="198"/>
      <c r="BR58" s="198"/>
      <c r="BS58" s="198"/>
      <c r="BT58" s="198"/>
      <c r="BU58" s="170">
        <f>(90+90+90+90)*0.8602</f>
        <v>309.67199999999997</v>
      </c>
      <c r="BV58" s="198"/>
      <c r="BW58" s="198"/>
      <c r="BX58" s="198"/>
      <c r="BY58" s="198"/>
      <c r="BZ58" s="198">
        <v>180</v>
      </c>
      <c r="CA58" s="198">
        <v>180</v>
      </c>
      <c r="CB58" s="198">
        <v>110</v>
      </c>
      <c r="CC58" s="198">
        <v>120</v>
      </c>
      <c r="CD58" s="198">
        <v>135</v>
      </c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>
        <v>300</v>
      </c>
      <c r="CQ58" s="198"/>
      <c r="CR58" s="198"/>
      <c r="CS58" s="198"/>
      <c r="CT58" s="198"/>
      <c r="CU58" s="198">
        <f>60*649.5/740</f>
        <v>52.66216216216216</v>
      </c>
      <c r="CV58" s="198"/>
      <c r="CW58" s="198">
        <f>60*649.5/740</f>
        <v>52.66216216216216</v>
      </c>
      <c r="CX58" s="198"/>
      <c r="CZ58" s="170">
        <f t="shared" si="0"/>
        <v>3211.971024324324</v>
      </c>
    </row>
    <row r="59" spans="1:132" ht="12.75">
      <c r="A59" s="149" t="s">
        <v>206</v>
      </c>
      <c r="B59" s="123" t="s">
        <v>20</v>
      </c>
      <c r="D59" s="123">
        <v>50</v>
      </c>
      <c r="F59" s="188"/>
      <c r="G59" s="188"/>
      <c r="J59" s="188"/>
      <c r="N59" s="188"/>
      <c r="P59" s="201"/>
      <c r="Q59" s="188"/>
      <c r="R59" s="201"/>
      <c r="S59" s="201"/>
      <c r="T59" s="198"/>
      <c r="U59" s="198"/>
      <c r="V59" s="198"/>
      <c r="W59" s="198"/>
      <c r="X59" s="198"/>
      <c r="Y59" s="198"/>
      <c r="Z59" s="198"/>
      <c r="AA59" s="198"/>
      <c r="AB59" s="198"/>
      <c r="AC59" s="198">
        <v>120</v>
      </c>
      <c r="AD59" s="198"/>
      <c r="AE59" s="198">
        <v>110</v>
      </c>
      <c r="AF59" s="198">
        <v>110</v>
      </c>
      <c r="AG59" s="198"/>
      <c r="AH59" s="198">
        <v>120</v>
      </c>
      <c r="AI59" s="198"/>
      <c r="AJ59" s="198"/>
      <c r="AK59" s="198"/>
      <c r="AL59" s="198"/>
      <c r="AM59" s="198"/>
      <c r="AN59" s="198"/>
      <c r="AO59" s="198">
        <v>170</v>
      </c>
      <c r="AP59" s="198"/>
      <c r="AQ59" s="198">
        <v>170</v>
      </c>
      <c r="AR59" s="198"/>
      <c r="AS59" s="198"/>
      <c r="AT59" s="198"/>
      <c r="AU59" s="198"/>
      <c r="AV59" s="198"/>
      <c r="AW59" s="198">
        <v>110</v>
      </c>
      <c r="AX59" s="198">
        <v>130</v>
      </c>
      <c r="AY59" s="198"/>
      <c r="AZ59" s="198"/>
      <c r="BA59" s="198"/>
      <c r="BB59" s="198"/>
      <c r="BC59" s="198"/>
      <c r="BD59" s="198"/>
      <c r="BE59" s="198"/>
      <c r="BF59" s="198">
        <v>200</v>
      </c>
      <c r="BG59" s="198">
        <v>200</v>
      </c>
      <c r="BH59" s="198"/>
      <c r="BI59" s="198"/>
      <c r="BJ59" s="198"/>
      <c r="BK59" s="198">
        <v>45</v>
      </c>
      <c r="BL59" s="198">
        <f>220*84.9885/100</f>
        <v>186.9747</v>
      </c>
      <c r="BM59" s="198"/>
      <c r="BN59" s="198"/>
      <c r="BO59" s="198"/>
      <c r="BP59" s="198"/>
      <c r="BQ59" s="198"/>
      <c r="BR59" s="198"/>
      <c r="BS59" s="198"/>
      <c r="BT59" s="198"/>
      <c r="BU59" s="170">
        <f>(90+90+90+90)*0.8602</f>
        <v>309.67199999999997</v>
      </c>
      <c r="BV59" s="198"/>
      <c r="BW59" s="198"/>
      <c r="BX59" s="198"/>
      <c r="BY59" s="198"/>
      <c r="BZ59" s="198"/>
      <c r="CA59" s="198"/>
      <c r="CB59" s="198">
        <v>110</v>
      </c>
      <c r="CC59" s="198">
        <v>120</v>
      </c>
      <c r="CD59" s="198">
        <v>135</v>
      </c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>
        <f>60*649.5/740</f>
        <v>52.66216216216216</v>
      </c>
      <c r="CV59" s="198"/>
      <c r="CW59" s="198">
        <f>60*649.5/740</f>
        <v>52.66216216216216</v>
      </c>
      <c r="CX59" s="198"/>
      <c r="CZ59" s="170">
        <f t="shared" si="0"/>
        <v>2501.9710243243244</v>
      </c>
      <c r="DA59" s="205"/>
      <c r="DB59" s="205"/>
      <c r="DC59" s="205"/>
      <c r="DD59" s="205"/>
      <c r="DE59" s="188"/>
      <c r="DF59" s="188"/>
      <c r="DG59" s="188"/>
      <c r="DH59" s="188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</row>
    <row r="60" spans="1:151" ht="12.75">
      <c r="A60" s="149" t="s">
        <v>581</v>
      </c>
      <c r="B60" s="123" t="s">
        <v>17</v>
      </c>
      <c r="F60" s="188"/>
      <c r="G60" s="188"/>
      <c r="J60" s="188"/>
      <c r="N60" s="188"/>
      <c r="P60" s="201"/>
      <c r="Q60" s="188"/>
      <c r="R60" s="201"/>
      <c r="S60" s="201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>
        <f>60+30</f>
        <v>90</v>
      </c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Z60" s="170">
        <f t="shared" si="0"/>
        <v>90</v>
      </c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205"/>
    </row>
    <row r="61" spans="1:151" ht="12.75">
      <c r="A61" s="149" t="s">
        <v>135</v>
      </c>
      <c r="B61" s="123" t="s">
        <v>18</v>
      </c>
      <c r="F61" s="188"/>
      <c r="G61" s="188"/>
      <c r="J61" s="188"/>
      <c r="K61" s="123">
        <v>120</v>
      </c>
      <c r="N61" s="188"/>
      <c r="P61" s="201"/>
      <c r="Q61" s="188"/>
      <c r="R61" s="201"/>
      <c r="S61" s="201"/>
      <c r="T61" s="198"/>
      <c r="U61" s="198"/>
      <c r="V61" s="198"/>
      <c r="W61" s="198"/>
      <c r="X61" s="198"/>
      <c r="Y61" s="198">
        <v>120</v>
      </c>
      <c r="Z61" s="198"/>
      <c r="AA61" s="198"/>
      <c r="AB61" s="198"/>
      <c r="AC61" s="198"/>
      <c r="AD61" s="198"/>
      <c r="AE61" s="198"/>
      <c r="AF61" s="198"/>
      <c r="AG61" s="198">
        <v>90</v>
      </c>
      <c r="AH61" s="198"/>
      <c r="AI61" s="198"/>
      <c r="AJ61" s="198"/>
      <c r="AK61" s="198">
        <v>60</v>
      </c>
      <c r="AL61" s="198"/>
      <c r="AM61" s="198"/>
      <c r="AN61" s="198"/>
      <c r="AO61" s="198"/>
      <c r="AP61" s="198"/>
      <c r="AQ61" s="198">
        <v>130</v>
      </c>
      <c r="AR61" s="198"/>
      <c r="AS61" s="198"/>
      <c r="AT61" s="198"/>
      <c r="AU61" s="198"/>
      <c r="AV61" s="198"/>
      <c r="AW61" s="198"/>
      <c r="AX61" s="198"/>
      <c r="AY61" s="198"/>
      <c r="AZ61" s="198">
        <v>70</v>
      </c>
      <c r="BA61" s="198"/>
      <c r="BB61" s="198"/>
      <c r="BC61" s="198"/>
      <c r="BD61" s="198">
        <v>80</v>
      </c>
      <c r="BE61" s="198"/>
      <c r="BF61" s="198"/>
      <c r="BG61" s="198">
        <v>100</v>
      </c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V61" s="198"/>
      <c r="BW61" s="198"/>
      <c r="BX61" s="198"/>
      <c r="BY61" s="198"/>
      <c r="BZ61" s="198"/>
      <c r="CA61" s="198"/>
      <c r="CB61" s="198"/>
      <c r="CC61" s="198"/>
      <c r="CD61" s="198">
        <v>85</v>
      </c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Z61" s="170">
        <f t="shared" si="0"/>
        <v>855</v>
      </c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205"/>
    </row>
    <row r="62" spans="1:132" ht="12.75">
      <c r="A62" s="149" t="s">
        <v>258</v>
      </c>
      <c r="B62" s="123" t="s">
        <v>18</v>
      </c>
      <c r="F62" s="188"/>
      <c r="G62" s="188"/>
      <c r="J62" s="188"/>
      <c r="N62" s="188"/>
      <c r="P62" s="201"/>
      <c r="Q62" s="188"/>
      <c r="R62" s="201"/>
      <c r="S62" s="201"/>
      <c r="T62" s="198"/>
      <c r="U62" s="198"/>
      <c r="V62" s="198"/>
      <c r="W62" s="198"/>
      <c r="X62" s="198"/>
      <c r="Y62" s="198">
        <v>80</v>
      </c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>
        <v>90</v>
      </c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>
        <v>80</v>
      </c>
      <c r="BE62" s="198"/>
      <c r="BF62" s="198"/>
      <c r="BG62" s="198">
        <v>100</v>
      </c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V62" s="198"/>
      <c r="BW62" s="198"/>
      <c r="BX62" s="198"/>
      <c r="BY62" s="198"/>
      <c r="BZ62" s="198"/>
      <c r="CA62" s="198"/>
      <c r="CB62" s="198"/>
      <c r="CC62" s="198"/>
      <c r="CD62" s="198">
        <v>85</v>
      </c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Z62" s="170">
        <f t="shared" si="0"/>
        <v>435</v>
      </c>
      <c r="DA62" s="205"/>
      <c r="DB62" s="205"/>
      <c r="DC62" s="205"/>
      <c r="DD62" s="205"/>
      <c r="DE62" s="188"/>
      <c r="DF62" s="188"/>
      <c r="DG62" s="188"/>
      <c r="DH62" s="188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</row>
    <row r="63" spans="1:151" ht="12.75">
      <c r="A63" s="149" t="s">
        <v>237</v>
      </c>
      <c r="B63" s="123" t="s">
        <v>19</v>
      </c>
      <c r="F63" s="188"/>
      <c r="G63" s="188"/>
      <c r="J63" s="188"/>
      <c r="N63" s="188"/>
      <c r="P63" s="201"/>
      <c r="Q63" s="188"/>
      <c r="R63" s="201"/>
      <c r="S63" s="201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>
        <v>100</v>
      </c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Z63" s="170">
        <f t="shared" si="0"/>
        <v>100</v>
      </c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205"/>
    </row>
    <row r="64" spans="1:151" ht="12.75">
      <c r="A64" s="149" t="s">
        <v>539</v>
      </c>
      <c r="B64" s="123" t="s">
        <v>21</v>
      </c>
      <c r="F64" s="188"/>
      <c r="G64" s="188"/>
      <c r="J64" s="188"/>
      <c r="N64" s="188"/>
      <c r="P64" s="201"/>
      <c r="Q64" s="188"/>
      <c r="R64" s="201"/>
      <c r="S64" s="201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>
        <v>110</v>
      </c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V64" s="198"/>
      <c r="BW64" s="198"/>
      <c r="BX64" s="198"/>
      <c r="BY64" s="198"/>
      <c r="BZ64" s="198"/>
      <c r="CA64" s="198"/>
      <c r="CB64" s="198"/>
      <c r="CC64" s="198"/>
      <c r="CD64" s="198">
        <v>135</v>
      </c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Z64" s="170">
        <f t="shared" si="0"/>
        <v>245</v>
      </c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205"/>
    </row>
    <row r="65" spans="1:151" ht="12.75">
      <c r="A65" s="149" t="s">
        <v>883</v>
      </c>
      <c r="B65" s="123" t="s">
        <v>17</v>
      </c>
      <c r="F65" s="188"/>
      <c r="G65" s="188"/>
      <c r="J65" s="188"/>
      <c r="N65" s="188"/>
      <c r="P65" s="201"/>
      <c r="Q65" s="188"/>
      <c r="R65" s="201"/>
      <c r="S65" s="201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V65" s="198"/>
      <c r="BW65" s="198"/>
      <c r="BX65" s="198"/>
      <c r="BY65" s="198"/>
      <c r="BZ65" s="198"/>
      <c r="CA65" s="198"/>
      <c r="CB65" s="198"/>
      <c r="CC65" s="198"/>
      <c r="CD65" s="198">
        <v>85</v>
      </c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Z65" s="170">
        <f t="shared" si="0"/>
        <v>85</v>
      </c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205"/>
    </row>
    <row r="66" spans="1:104" ht="12.75">
      <c r="A66" s="149" t="s">
        <v>59</v>
      </c>
      <c r="B66" s="123" t="s">
        <v>17</v>
      </c>
      <c r="D66" s="123">
        <v>100</v>
      </c>
      <c r="F66" s="188"/>
      <c r="G66" s="188"/>
      <c r="J66" s="188"/>
      <c r="N66" s="188"/>
      <c r="P66" s="201"/>
      <c r="Q66" s="188"/>
      <c r="R66" s="201"/>
      <c r="S66" s="201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V66" s="198"/>
      <c r="BW66" s="198"/>
      <c r="BX66" s="198"/>
      <c r="BY66" s="198"/>
      <c r="BZ66" s="198"/>
      <c r="CA66" s="198"/>
      <c r="CB66" s="198"/>
      <c r="CC66" s="198"/>
      <c r="CD66" s="198">
        <v>135</v>
      </c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Z66" s="170">
        <f t="shared" si="0"/>
        <v>235</v>
      </c>
    </row>
    <row r="67" spans="1:104" ht="12.75">
      <c r="A67" s="149" t="s">
        <v>927</v>
      </c>
      <c r="B67" s="123" t="s">
        <v>18</v>
      </c>
      <c r="F67" s="188"/>
      <c r="G67" s="188"/>
      <c r="J67" s="188"/>
      <c r="N67" s="188"/>
      <c r="P67" s="201"/>
      <c r="Q67" s="188"/>
      <c r="R67" s="201"/>
      <c r="S67" s="201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Z67" s="170">
        <f>SUM(C67:CY67)</f>
        <v>0</v>
      </c>
    </row>
    <row r="68" spans="1:104" ht="12.75">
      <c r="A68" s="149" t="s">
        <v>279</v>
      </c>
      <c r="B68" s="123" t="s">
        <v>18</v>
      </c>
      <c r="F68" s="188"/>
      <c r="G68" s="188"/>
      <c r="J68" s="188"/>
      <c r="N68" s="188"/>
      <c r="P68" s="201"/>
      <c r="Q68" s="188"/>
      <c r="R68" s="201"/>
      <c r="S68" s="201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V68" s="198"/>
      <c r="BW68" s="198"/>
      <c r="BX68" s="198"/>
      <c r="BY68" s="198"/>
      <c r="BZ68" s="198"/>
      <c r="CA68" s="198"/>
      <c r="CB68" s="198"/>
      <c r="CC68" s="198"/>
      <c r="CD68" s="198">
        <v>85</v>
      </c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Z68" s="170">
        <f t="shared" si="0"/>
        <v>85</v>
      </c>
    </row>
    <row r="69" spans="1:151" ht="12.75">
      <c r="A69" s="149" t="s">
        <v>538</v>
      </c>
      <c r="B69" s="123" t="s">
        <v>21</v>
      </c>
      <c r="F69" s="188"/>
      <c r="G69" s="188"/>
      <c r="J69" s="188"/>
      <c r="N69" s="188"/>
      <c r="P69" s="201"/>
      <c r="Q69" s="188"/>
      <c r="R69" s="201"/>
      <c r="S69" s="201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>
        <v>110</v>
      </c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Z69" s="170">
        <f t="shared" si="0"/>
        <v>110</v>
      </c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205"/>
    </row>
    <row r="70" spans="1:104" ht="12.75">
      <c r="A70" s="149" t="s">
        <v>94</v>
      </c>
      <c r="B70" s="123" t="s">
        <v>19</v>
      </c>
      <c r="F70" s="188"/>
      <c r="G70" s="188"/>
      <c r="J70" s="188"/>
      <c r="N70" s="188"/>
      <c r="P70" s="201"/>
      <c r="Q70" s="188"/>
      <c r="R70" s="201"/>
      <c r="S70" s="201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Z70" s="170">
        <f t="shared" si="0"/>
        <v>0</v>
      </c>
    </row>
    <row r="71" spans="1:151" ht="12.75">
      <c r="A71" s="149" t="s">
        <v>68</v>
      </c>
      <c r="B71" s="123" t="s">
        <v>18</v>
      </c>
      <c r="F71" s="188"/>
      <c r="G71" s="188"/>
      <c r="J71" s="188"/>
      <c r="N71" s="188"/>
      <c r="P71" s="201"/>
      <c r="Q71" s="188"/>
      <c r="R71" s="201"/>
      <c r="S71" s="201"/>
      <c r="T71" s="198"/>
      <c r="U71" s="198"/>
      <c r="V71" s="198"/>
      <c r="W71" s="198"/>
      <c r="X71" s="198">
        <v>90</v>
      </c>
      <c r="Y71" s="198">
        <v>80</v>
      </c>
      <c r="Z71" s="198">
        <v>80</v>
      </c>
      <c r="AA71" s="198"/>
      <c r="AB71" s="198"/>
      <c r="AC71" s="198"/>
      <c r="AD71" s="198"/>
      <c r="AE71" s="198"/>
      <c r="AF71" s="198"/>
      <c r="AG71" s="198">
        <v>60</v>
      </c>
      <c r="AH71" s="198">
        <v>70</v>
      </c>
      <c r="AI71" s="198"/>
      <c r="AJ71" s="198"/>
      <c r="AK71" s="198">
        <v>60</v>
      </c>
      <c r="AL71" s="198"/>
      <c r="AM71" s="198"/>
      <c r="AN71" s="198"/>
      <c r="AO71" s="198">
        <v>90</v>
      </c>
      <c r="AP71" s="198"/>
      <c r="AQ71" s="198">
        <v>90</v>
      </c>
      <c r="AR71" s="198"/>
      <c r="AS71" s="198"/>
      <c r="AT71" s="198"/>
      <c r="AU71" s="198">
        <v>80</v>
      </c>
      <c r="AV71" s="198"/>
      <c r="AW71" s="198"/>
      <c r="AX71" s="198"/>
      <c r="AY71" s="198"/>
      <c r="AZ71" s="198"/>
      <c r="BA71" s="198"/>
      <c r="BB71" s="198"/>
      <c r="BC71" s="198">
        <v>60</v>
      </c>
      <c r="BD71" s="198">
        <v>80</v>
      </c>
      <c r="BE71" s="198"/>
      <c r="BF71" s="198"/>
      <c r="BG71" s="198">
        <v>100</v>
      </c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>
        <v>70</v>
      </c>
      <c r="BS71" s="198"/>
      <c r="BT71" s="198"/>
      <c r="BV71" s="198"/>
      <c r="BW71" s="198"/>
      <c r="BX71" s="198"/>
      <c r="BY71" s="198"/>
      <c r="BZ71" s="198"/>
      <c r="CA71" s="198"/>
      <c r="CB71" s="198"/>
      <c r="CC71" s="198"/>
      <c r="CD71" s="198">
        <v>85</v>
      </c>
      <c r="CE71" s="198">
        <v>75</v>
      </c>
      <c r="CF71" s="198"/>
      <c r="CG71" s="198"/>
      <c r="CH71" s="198"/>
      <c r="CI71" s="198">
        <v>65</v>
      </c>
      <c r="CJ71" s="198">
        <v>60</v>
      </c>
      <c r="CK71" s="198">
        <v>60</v>
      </c>
      <c r="CL71" s="198"/>
      <c r="CM71" s="198"/>
      <c r="CN71" s="198"/>
      <c r="CO71" s="198"/>
      <c r="CP71" s="198">
        <v>200</v>
      </c>
      <c r="CQ71" s="198"/>
      <c r="CR71" s="198"/>
      <c r="CS71" s="198"/>
      <c r="CT71" s="198"/>
      <c r="CU71" s="198"/>
      <c r="CV71" s="198"/>
      <c r="CW71" s="198"/>
      <c r="CX71" s="198"/>
      <c r="CZ71" s="170">
        <f t="shared" si="0"/>
        <v>1555</v>
      </c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205"/>
    </row>
    <row r="72" spans="1:151" ht="12.75">
      <c r="A72" s="149" t="s">
        <v>69</v>
      </c>
      <c r="B72" s="123" t="s">
        <v>18</v>
      </c>
      <c r="F72" s="188"/>
      <c r="G72" s="188"/>
      <c r="J72" s="188"/>
      <c r="N72" s="188"/>
      <c r="P72" s="201"/>
      <c r="Q72" s="188"/>
      <c r="R72" s="201"/>
      <c r="S72" s="201"/>
      <c r="T72" s="198"/>
      <c r="U72" s="198"/>
      <c r="V72" s="198"/>
      <c r="W72" s="198"/>
      <c r="X72" s="198">
        <v>180</v>
      </c>
      <c r="Y72" s="198">
        <v>170</v>
      </c>
      <c r="Z72" s="198">
        <v>170</v>
      </c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>
        <v>170</v>
      </c>
      <c r="AP72" s="198"/>
      <c r="AQ72" s="198">
        <v>170</v>
      </c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>
        <v>150</v>
      </c>
      <c r="BE72" s="198"/>
      <c r="BF72" s="198"/>
      <c r="BG72" s="198">
        <v>200</v>
      </c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Z72" s="170">
        <f t="shared" si="0"/>
        <v>1210</v>
      </c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205"/>
    </row>
    <row r="73" spans="1:151" ht="12.75">
      <c r="A73" s="149" t="s">
        <v>70</v>
      </c>
      <c r="B73" s="123" t="s">
        <v>18</v>
      </c>
      <c r="F73" s="188"/>
      <c r="G73" s="188"/>
      <c r="J73" s="188"/>
      <c r="N73" s="188"/>
      <c r="P73" s="201"/>
      <c r="Q73" s="188"/>
      <c r="R73" s="201"/>
      <c r="S73" s="201"/>
      <c r="T73" s="198"/>
      <c r="U73" s="198"/>
      <c r="V73" s="198"/>
      <c r="W73" s="198">
        <v>125</v>
      </c>
      <c r="X73" s="198">
        <v>200</v>
      </c>
      <c r="Y73" s="198">
        <v>170</v>
      </c>
      <c r="Z73" s="198">
        <v>170</v>
      </c>
      <c r="AA73" s="198"/>
      <c r="AB73" s="198"/>
      <c r="AC73" s="198"/>
      <c r="AD73" s="198"/>
      <c r="AE73" s="198"/>
      <c r="AF73" s="198"/>
      <c r="AG73" s="198"/>
      <c r="AH73" s="198"/>
      <c r="AI73" s="198">
        <v>250</v>
      </c>
      <c r="AJ73" s="198"/>
      <c r="AK73" s="198"/>
      <c r="AL73" s="198"/>
      <c r="AM73" s="198">
        <v>250</v>
      </c>
      <c r="AN73" s="198"/>
      <c r="AO73" s="198"/>
      <c r="AP73" s="198"/>
      <c r="AQ73" s="198"/>
      <c r="AR73" s="198"/>
      <c r="AS73" s="198"/>
      <c r="AT73" s="198">
        <v>310</v>
      </c>
      <c r="AU73" s="198"/>
      <c r="AV73" s="198"/>
      <c r="AW73" s="198"/>
      <c r="AX73" s="198"/>
      <c r="AY73" s="198"/>
      <c r="AZ73" s="198"/>
      <c r="BA73" s="198"/>
      <c r="BB73" s="198"/>
      <c r="BC73" s="198">
        <v>120</v>
      </c>
      <c r="BD73" s="198"/>
      <c r="BE73" s="198"/>
      <c r="BF73" s="198"/>
      <c r="BG73" s="198"/>
      <c r="BH73" s="198">
        <v>400</v>
      </c>
      <c r="BI73" s="198"/>
      <c r="BJ73" s="198"/>
      <c r="BK73" s="198"/>
      <c r="BL73" s="198"/>
      <c r="BM73" s="198"/>
      <c r="BN73" s="198"/>
      <c r="BO73" s="198"/>
      <c r="BP73" s="198"/>
      <c r="BQ73" s="198"/>
      <c r="BR73" s="198">
        <v>120</v>
      </c>
      <c r="BS73" s="198"/>
      <c r="BT73" s="198"/>
      <c r="BV73" s="198"/>
      <c r="BW73" s="198"/>
      <c r="BX73" s="198"/>
      <c r="BY73" s="198"/>
      <c r="BZ73" s="198"/>
      <c r="CA73" s="198"/>
      <c r="CB73" s="198">
        <v>110</v>
      </c>
      <c r="CC73" s="198"/>
      <c r="CD73" s="198">
        <v>135</v>
      </c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>
        <v>320</v>
      </c>
      <c r="CQ73" s="198"/>
      <c r="CR73" s="198"/>
      <c r="CS73" s="198"/>
      <c r="CT73" s="198"/>
      <c r="CU73" s="198"/>
      <c r="CV73" s="198"/>
      <c r="CW73" s="198"/>
      <c r="CX73" s="198"/>
      <c r="CZ73" s="170">
        <f t="shared" si="0"/>
        <v>2680</v>
      </c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205"/>
    </row>
    <row r="74" spans="1:151" ht="12.75">
      <c r="A74" s="149" t="s">
        <v>71</v>
      </c>
      <c r="B74" s="123" t="s">
        <v>18</v>
      </c>
      <c r="F74" s="188"/>
      <c r="G74" s="188"/>
      <c r="J74" s="188"/>
      <c r="N74" s="188"/>
      <c r="P74" s="201"/>
      <c r="Q74" s="188"/>
      <c r="R74" s="201"/>
      <c r="S74" s="201"/>
      <c r="T74" s="198"/>
      <c r="U74" s="198"/>
      <c r="V74" s="198"/>
      <c r="W74" s="198"/>
      <c r="X74" s="198">
        <v>180</v>
      </c>
      <c r="Y74" s="198">
        <v>170</v>
      </c>
      <c r="Z74" s="198">
        <v>170</v>
      </c>
      <c r="AA74" s="198"/>
      <c r="AB74" s="198"/>
      <c r="AC74" s="198"/>
      <c r="AD74" s="198"/>
      <c r="AE74" s="198"/>
      <c r="AF74" s="198"/>
      <c r="AG74" s="198">
        <v>120</v>
      </c>
      <c r="AH74" s="198">
        <v>120</v>
      </c>
      <c r="AI74" s="198"/>
      <c r="AJ74" s="198"/>
      <c r="AK74" s="198">
        <v>120</v>
      </c>
      <c r="AL74" s="198"/>
      <c r="AM74" s="198"/>
      <c r="AN74" s="198"/>
      <c r="AO74" s="198"/>
      <c r="AP74" s="198"/>
      <c r="AQ74" s="198">
        <v>170</v>
      </c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>
        <v>150</v>
      </c>
      <c r="BE74" s="198"/>
      <c r="BF74" s="198"/>
      <c r="BG74" s="198">
        <v>200</v>
      </c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>
        <v>135</v>
      </c>
      <c r="CF74" s="198"/>
      <c r="CG74" s="198"/>
      <c r="CH74" s="198"/>
      <c r="CI74" s="198"/>
      <c r="CJ74" s="198"/>
      <c r="CK74" s="198"/>
      <c r="CL74" s="198">
        <v>130</v>
      </c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Z74" s="170">
        <f t="shared" si="0"/>
        <v>1665</v>
      </c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205"/>
    </row>
    <row r="75" spans="1:151" ht="12.75">
      <c r="A75" s="149" t="s">
        <v>72</v>
      </c>
      <c r="B75" s="123" t="s">
        <v>18</v>
      </c>
      <c r="F75" s="188"/>
      <c r="G75" s="188"/>
      <c r="J75" s="188"/>
      <c r="N75" s="188"/>
      <c r="P75" s="201"/>
      <c r="Q75" s="188"/>
      <c r="R75" s="201"/>
      <c r="S75" s="201"/>
      <c r="T75" s="198"/>
      <c r="U75" s="198"/>
      <c r="V75" s="198"/>
      <c r="W75" s="198"/>
      <c r="X75" s="198">
        <v>90</v>
      </c>
      <c r="Y75" s="198">
        <v>80</v>
      </c>
      <c r="Z75" s="198">
        <v>80</v>
      </c>
      <c r="AA75" s="198"/>
      <c r="AB75" s="198"/>
      <c r="AC75" s="198"/>
      <c r="AD75" s="198"/>
      <c r="AE75" s="198"/>
      <c r="AF75" s="198"/>
      <c r="AG75" s="198">
        <v>60</v>
      </c>
      <c r="AH75" s="198">
        <v>70</v>
      </c>
      <c r="AI75" s="198"/>
      <c r="AJ75" s="198"/>
      <c r="AK75" s="198">
        <v>60</v>
      </c>
      <c r="AL75" s="198"/>
      <c r="AM75" s="198"/>
      <c r="AN75" s="198"/>
      <c r="AO75" s="198">
        <v>90</v>
      </c>
      <c r="AP75" s="198"/>
      <c r="AQ75" s="198">
        <v>90</v>
      </c>
      <c r="AR75" s="198"/>
      <c r="AS75" s="198"/>
      <c r="AT75" s="198"/>
      <c r="AU75" s="198">
        <v>80</v>
      </c>
      <c r="AV75" s="198"/>
      <c r="AW75" s="198"/>
      <c r="AX75" s="198"/>
      <c r="AY75" s="198"/>
      <c r="AZ75" s="198"/>
      <c r="BA75" s="198"/>
      <c r="BB75" s="198"/>
      <c r="BC75" s="198">
        <v>60</v>
      </c>
      <c r="BD75" s="198"/>
      <c r="BE75" s="198"/>
      <c r="BF75" s="198"/>
      <c r="BG75" s="198">
        <v>100</v>
      </c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>
        <v>120</v>
      </c>
      <c r="BS75" s="198"/>
      <c r="BT75" s="198"/>
      <c r="BV75" s="198"/>
      <c r="BW75" s="198"/>
      <c r="BX75" s="198"/>
      <c r="BY75" s="198"/>
      <c r="BZ75" s="198"/>
      <c r="CA75" s="198"/>
      <c r="CB75" s="198">
        <v>60</v>
      </c>
      <c r="CC75" s="198"/>
      <c r="CD75" s="198">
        <v>85</v>
      </c>
      <c r="CE75" s="198">
        <v>75</v>
      </c>
      <c r="CF75" s="198"/>
      <c r="CG75" s="198"/>
      <c r="CH75" s="198"/>
      <c r="CI75" s="198"/>
      <c r="CJ75" s="198">
        <v>60</v>
      </c>
      <c r="CK75" s="198">
        <v>60</v>
      </c>
      <c r="CL75" s="198">
        <v>70</v>
      </c>
      <c r="CM75" s="198"/>
      <c r="CN75" s="198"/>
      <c r="CO75" s="198"/>
      <c r="CP75" s="198">
        <v>200</v>
      </c>
      <c r="CQ75" s="198"/>
      <c r="CR75" s="198"/>
      <c r="CS75" s="198"/>
      <c r="CT75" s="198"/>
      <c r="CU75" s="198"/>
      <c r="CV75" s="198"/>
      <c r="CW75" s="198"/>
      <c r="CX75" s="198"/>
      <c r="CZ75" s="170">
        <f t="shared" si="0"/>
        <v>1590</v>
      </c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205"/>
    </row>
    <row r="76" spans="1:151" ht="12.75">
      <c r="A76" s="149" t="s">
        <v>613</v>
      </c>
      <c r="B76" s="123" t="s">
        <v>18</v>
      </c>
      <c r="F76" s="188"/>
      <c r="G76" s="188"/>
      <c r="J76" s="188"/>
      <c r="N76" s="188"/>
      <c r="P76" s="201"/>
      <c r="Q76" s="188"/>
      <c r="R76" s="201"/>
      <c r="S76" s="201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>
        <v>270</v>
      </c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>
        <v>120</v>
      </c>
      <c r="BS76" s="198"/>
      <c r="BT76" s="198"/>
      <c r="BV76" s="198"/>
      <c r="BW76" s="198"/>
      <c r="BX76" s="198"/>
      <c r="BY76" s="198"/>
      <c r="BZ76" s="198"/>
      <c r="CA76" s="198"/>
      <c r="CB76" s="198"/>
      <c r="CC76" s="198"/>
      <c r="CD76" s="198">
        <v>135</v>
      </c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>
        <v>320</v>
      </c>
      <c r="CQ76" s="198"/>
      <c r="CR76" s="198"/>
      <c r="CS76" s="198"/>
      <c r="CT76" s="198"/>
      <c r="CU76" s="198"/>
      <c r="CV76" s="198"/>
      <c r="CW76" s="198"/>
      <c r="CX76" s="198"/>
      <c r="CZ76" s="170">
        <f t="shared" si="0"/>
        <v>845</v>
      </c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205"/>
    </row>
    <row r="77" spans="1:136" ht="12.75">
      <c r="A77" s="149" t="s">
        <v>255</v>
      </c>
      <c r="B77" s="123" t="s">
        <v>18</v>
      </c>
      <c r="F77" s="188"/>
      <c r="G77" s="188"/>
      <c r="J77" s="188"/>
      <c r="N77" s="188"/>
      <c r="P77" s="201"/>
      <c r="Q77" s="188"/>
      <c r="R77" s="201"/>
      <c r="S77" s="201"/>
      <c r="T77" s="198"/>
      <c r="U77" s="198"/>
      <c r="V77" s="198"/>
      <c r="W77" s="198"/>
      <c r="X77" s="198">
        <v>90</v>
      </c>
      <c r="Y77" s="198"/>
      <c r="Z77" s="198"/>
      <c r="AA77" s="198">
        <v>180</v>
      </c>
      <c r="AB77" s="198"/>
      <c r="AC77" s="198"/>
      <c r="AD77" s="198"/>
      <c r="AE77" s="198"/>
      <c r="AF77" s="198"/>
      <c r="AG77" s="198">
        <v>60</v>
      </c>
      <c r="AH77" s="198"/>
      <c r="AI77" s="198"/>
      <c r="AJ77" s="198"/>
      <c r="AK77" s="198"/>
      <c r="AL77" s="198"/>
      <c r="AM77" s="198"/>
      <c r="AN77" s="198"/>
      <c r="AO77" s="198"/>
      <c r="AP77" s="198"/>
      <c r="AQ77" s="198">
        <v>130</v>
      </c>
      <c r="AR77" s="198"/>
      <c r="AS77" s="198"/>
      <c r="AT77" s="198"/>
      <c r="AU77" s="198">
        <v>80</v>
      </c>
      <c r="AV77" s="198"/>
      <c r="AW77" s="198"/>
      <c r="AX77" s="198"/>
      <c r="AY77" s="198"/>
      <c r="AZ77" s="198"/>
      <c r="BA77" s="198"/>
      <c r="BB77" s="198"/>
      <c r="BC77" s="198"/>
      <c r="BD77" s="198">
        <v>80</v>
      </c>
      <c r="BE77" s="198"/>
      <c r="BF77" s="198">
        <v>100</v>
      </c>
      <c r="BG77" s="198">
        <v>100</v>
      </c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V77" s="198"/>
      <c r="BW77" s="198"/>
      <c r="BX77" s="198"/>
      <c r="BY77" s="198"/>
      <c r="BZ77" s="198"/>
      <c r="CA77" s="198"/>
      <c r="CB77" s="198"/>
      <c r="CC77" s="198"/>
      <c r="CD77" s="198">
        <v>105</v>
      </c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Z77" s="170">
        <f t="shared" si="0"/>
        <v>925</v>
      </c>
      <c r="EF77" s="123"/>
    </row>
    <row r="78" spans="1:151" ht="12.75">
      <c r="A78" s="149" t="s">
        <v>661</v>
      </c>
      <c r="B78" s="123" t="s">
        <v>18</v>
      </c>
      <c r="F78" s="188"/>
      <c r="G78" s="188"/>
      <c r="J78" s="188"/>
      <c r="N78" s="188"/>
      <c r="P78" s="201"/>
      <c r="Q78" s="188"/>
      <c r="R78" s="201"/>
      <c r="S78" s="201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>
        <v>100</v>
      </c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Z78" s="170">
        <f aca="true" t="shared" si="1" ref="CZ78:CZ141">SUM(C78:CY78)</f>
        <v>100</v>
      </c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205"/>
    </row>
    <row r="79" spans="1:136" ht="12.75">
      <c r="A79" s="149" t="s">
        <v>496</v>
      </c>
      <c r="B79" s="123" t="s">
        <v>18</v>
      </c>
      <c r="F79" s="188"/>
      <c r="G79" s="188"/>
      <c r="J79" s="188"/>
      <c r="N79" s="188"/>
      <c r="P79" s="201"/>
      <c r="Q79" s="188"/>
      <c r="R79" s="201"/>
      <c r="S79" s="201"/>
      <c r="T79" s="198"/>
      <c r="U79" s="198"/>
      <c r="V79" s="198"/>
      <c r="W79" s="198"/>
      <c r="X79" s="198">
        <v>270</v>
      </c>
      <c r="Y79" s="198"/>
      <c r="Z79" s="198"/>
      <c r="AA79" s="198"/>
      <c r="AB79" s="198"/>
      <c r="AC79" s="198"/>
      <c r="AD79" s="198"/>
      <c r="AE79" s="198"/>
      <c r="AF79" s="198"/>
      <c r="AG79" s="198">
        <v>180</v>
      </c>
      <c r="AH79" s="198"/>
      <c r="AI79" s="198"/>
      <c r="AJ79" s="198"/>
      <c r="AK79" s="198"/>
      <c r="AL79" s="198"/>
      <c r="AM79" s="198"/>
      <c r="AN79" s="198"/>
      <c r="AO79" s="198"/>
      <c r="AP79" s="198"/>
      <c r="AQ79" s="198">
        <v>270</v>
      </c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>
        <v>200</v>
      </c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Z79" s="170">
        <f t="shared" si="1"/>
        <v>920</v>
      </c>
      <c r="EF79" s="123"/>
    </row>
    <row r="80" spans="1:151" ht="12.75">
      <c r="A80" s="149" t="s">
        <v>270</v>
      </c>
      <c r="B80" s="123" t="s">
        <v>18</v>
      </c>
      <c r="F80" s="188"/>
      <c r="G80" s="188"/>
      <c r="J80" s="188"/>
      <c r="N80" s="188"/>
      <c r="P80" s="201"/>
      <c r="Q80" s="188"/>
      <c r="R80" s="201"/>
      <c r="S80" s="201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Z80" s="170">
        <f t="shared" si="1"/>
        <v>0</v>
      </c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205"/>
    </row>
    <row r="81" spans="1:151" ht="12.75">
      <c r="A81" s="149" t="s">
        <v>275</v>
      </c>
      <c r="B81" s="123" t="s">
        <v>18</v>
      </c>
      <c r="F81" s="188"/>
      <c r="G81" s="188"/>
      <c r="J81" s="188"/>
      <c r="N81" s="188"/>
      <c r="P81" s="201"/>
      <c r="Q81" s="188"/>
      <c r="R81" s="201"/>
      <c r="S81" s="201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Z81" s="170">
        <f t="shared" si="1"/>
        <v>0</v>
      </c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205"/>
    </row>
    <row r="82" spans="1:151" ht="12.75">
      <c r="A82" s="149" t="s">
        <v>286</v>
      </c>
      <c r="B82" s="123" t="s">
        <v>19</v>
      </c>
      <c r="F82" s="188"/>
      <c r="G82" s="188"/>
      <c r="J82" s="188"/>
      <c r="N82" s="188"/>
      <c r="P82" s="201"/>
      <c r="Q82" s="188"/>
      <c r="R82" s="201"/>
      <c r="S82" s="201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Z82" s="170">
        <f t="shared" si="1"/>
        <v>0</v>
      </c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205"/>
    </row>
    <row r="83" spans="1:104" ht="12.75">
      <c r="A83" s="149" t="s">
        <v>172</v>
      </c>
      <c r="B83" s="123" t="s">
        <v>18</v>
      </c>
      <c r="F83" s="188"/>
      <c r="G83" s="188"/>
      <c r="J83" s="188"/>
      <c r="N83" s="188"/>
      <c r="P83" s="201"/>
      <c r="Q83" s="188"/>
      <c r="R83" s="201"/>
      <c r="S83" s="201"/>
      <c r="T83" s="198"/>
      <c r="U83" s="198"/>
      <c r="V83" s="198"/>
      <c r="W83" s="198"/>
      <c r="X83" s="198">
        <v>270</v>
      </c>
      <c r="Y83" s="198">
        <v>170</v>
      </c>
      <c r="Z83" s="198">
        <v>170</v>
      </c>
      <c r="AA83" s="198"/>
      <c r="AB83" s="198"/>
      <c r="AC83" s="198"/>
      <c r="AD83" s="198"/>
      <c r="AE83" s="198"/>
      <c r="AF83" s="198"/>
      <c r="AG83" s="198">
        <v>120</v>
      </c>
      <c r="AH83" s="198">
        <v>120</v>
      </c>
      <c r="AI83" s="198"/>
      <c r="AJ83" s="198"/>
      <c r="AK83" s="198">
        <v>120</v>
      </c>
      <c r="AL83" s="198"/>
      <c r="AM83" s="198"/>
      <c r="AN83" s="198"/>
      <c r="AO83" s="198">
        <v>170</v>
      </c>
      <c r="AP83" s="198"/>
      <c r="AQ83" s="198">
        <v>170</v>
      </c>
      <c r="AR83" s="198"/>
      <c r="AS83" s="198"/>
      <c r="AT83" s="198"/>
      <c r="AU83" s="198">
        <v>160</v>
      </c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V83" s="198"/>
      <c r="BW83" s="198"/>
      <c r="BX83" s="198"/>
      <c r="BY83" s="198">
        <v>160</v>
      </c>
      <c r="BZ83" s="198"/>
      <c r="CA83" s="198"/>
      <c r="CB83" s="198"/>
      <c r="CC83" s="198"/>
      <c r="CD83" s="198"/>
      <c r="CE83" s="198">
        <v>135</v>
      </c>
      <c r="CF83" s="198"/>
      <c r="CG83" s="198"/>
      <c r="CH83" s="198"/>
      <c r="CI83" s="198"/>
      <c r="CJ83" s="198">
        <v>120</v>
      </c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Z83" s="170">
        <f t="shared" si="1"/>
        <v>1885</v>
      </c>
    </row>
    <row r="84" spans="1:151" ht="12.75">
      <c r="A84" s="149" t="s">
        <v>582</v>
      </c>
      <c r="B84" s="123" t="s">
        <v>17</v>
      </c>
      <c r="F84" s="188"/>
      <c r="G84" s="188"/>
      <c r="J84" s="188"/>
      <c r="N84" s="188"/>
      <c r="P84" s="201"/>
      <c r="Q84" s="188"/>
      <c r="R84" s="201"/>
      <c r="S84" s="201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>
        <f>60+30</f>
        <v>90</v>
      </c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Z84" s="170">
        <f t="shared" si="1"/>
        <v>90</v>
      </c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205"/>
    </row>
    <row r="85" spans="1:151" ht="12.75">
      <c r="A85" s="149" t="s">
        <v>873</v>
      </c>
      <c r="B85" s="123" t="s">
        <v>152</v>
      </c>
      <c r="F85" s="188"/>
      <c r="G85" s="188"/>
      <c r="J85" s="188"/>
      <c r="N85" s="188"/>
      <c r="P85" s="201"/>
      <c r="Q85" s="188"/>
      <c r="R85" s="201"/>
      <c r="S85" s="201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V85" s="198"/>
      <c r="BW85" s="198"/>
      <c r="BX85" s="198"/>
      <c r="BY85" s="198"/>
      <c r="BZ85" s="198"/>
      <c r="CA85" s="198"/>
      <c r="CB85" s="198"/>
      <c r="CC85" s="198"/>
      <c r="CD85" s="198">
        <v>85</v>
      </c>
      <c r="CE85" s="198"/>
      <c r="CF85" s="198"/>
      <c r="CG85" s="198"/>
      <c r="CH85" s="198"/>
      <c r="CI85" s="198">
        <v>65</v>
      </c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Z85" s="170">
        <f>SUM(C85:CY85)</f>
        <v>150</v>
      </c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205"/>
    </row>
    <row r="86" spans="1:104" ht="12.75">
      <c r="A86" s="149" t="s">
        <v>268</v>
      </c>
      <c r="B86" s="123" t="s">
        <v>152</v>
      </c>
      <c r="F86" s="188"/>
      <c r="G86" s="188"/>
      <c r="J86" s="188"/>
      <c r="N86" s="188"/>
      <c r="P86" s="201"/>
      <c r="Q86" s="188"/>
      <c r="R86" s="201"/>
      <c r="S86" s="201"/>
      <c r="T86" s="198"/>
      <c r="U86" s="198"/>
      <c r="V86" s="198"/>
      <c r="W86" s="198"/>
      <c r="X86" s="198">
        <v>90</v>
      </c>
      <c r="Y86" s="198"/>
      <c r="Z86" s="198">
        <v>80</v>
      </c>
      <c r="AA86" s="198"/>
      <c r="AB86" s="198"/>
      <c r="AC86" s="198"/>
      <c r="AD86" s="198"/>
      <c r="AE86" s="198"/>
      <c r="AF86" s="198"/>
      <c r="AG86" s="198"/>
      <c r="AH86" s="198">
        <v>70</v>
      </c>
      <c r="AI86" s="198"/>
      <c r="AJ86" s="198"/>
      <c r="AK86" s="198">
        <v>60</v>
      </c>
      <c r="AL86" s="198"/>
      <c r="AM86" s="198"/>
      <c r="AN86" s="198"/>
      <c r="AO86" s="198">
        <v>90</v>
      </c>
      <c r="AP86" s="198"/>
      <c r="AQ86" s="198">
        <v>90</v>
      </c>
      <c r="AR86" s="198"/>
      <c r="AS86" s="198"/>
      <c r="AT86" s="198"/>
      <c r="AU86" s="198">
        <v>80</v>
      </c>
      <c r="AV86" s="198"/>
      <c r="AW86" s="198"/>
      <c r="AX86" s="198"/>
      <c r="AY86" s="198"/>
      <c r="AZ86" s="198">
        <v>70</v>
      </c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V86" s="198"/>
      <c r="BW86" s="198"/>
      <c r="BX86" s="198"/>
      <c r="BY86" s="198"/>
      <c r="BZ86" s="198"/>
      <c r="CA86" s="198"/>
      <c r="CB86" s="198"/>
      <c r="CC86" s="198"/>
      <c r="CD86" s="198">
        <v>85</v>
      </c>
      <c r="CE86" s="198"/>
      <c r="CF86" s="198"/>
      <c r="CG86" s="198"/>
      <c r="CH86" s="198"/>
      <c r="CI86" s="198">
        <v>65</v>
      </c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Z86" s="170">
        <f t="shared" si="1"/>
        <v>780</v>
      </c>
    </row>
    <row r="87" spans="1:104" ht="12.75">
      <c r="A87" s="149" t="s">
        <v>256</v>
      </c>
      <c r="B87" s="123" t="s">
        <v>152</v>
      </c>
      <c r="F87" s="188"/>
      <c r="G87" s="188"/>
      <c r="J87" s="188"/>
      <c r="N87" s="188"/>
      <c r="P87" s="201"/>
      <c r="Q87" s="188"/>
      <c r="R87" s="201"/>
      <c r="S87" s="201"/>
      <c r="T87" s="198"/>
      <c r="U87" s="198"/>
      <c r="V87" s="198"/>
      <c r="W87" s="198"/>
      <c r="X87" s="198">
        <f>90+20</f>
        <v>110</v>
      </c>
      <c r="Y87" s="198"/>
      <c r="Z87" s="198">
        <v>80</v>
      </c>
      <c r="AA87" s="198"/>
      <c r="AB87" s="198"/>
      <c r="AC87" s="198"/>
      <c r="AD87" s="198"/>
      <c r="AE87" s="198"/>
      <c r="AF87" s="198"/>
      <c r="AG87" s="198">
        <v>60</v>
      </c>
      <c r="AH87" s="198">
        <v>70</v>
      </c>
      <c r="AI87" s="198"/>
      <c r="AJ87" s="198"/>
      <c r="AK87" s="198">
        <v>60</v>
      </c>
      <c r="AL87" s="198"/>
      <c r="AM87" s="198"/>
      <c r="AN87" s="198"/>
      <c r="AO87" s="198">
        <v>90</v>
      </c>
      <c r="AP87" s="198"/>
      <c r="AQ87" s="198">
        <v>90</v>
      </c>
      <c r="AR87" s="198"/>
      <c r="AS87" s="198"/>
      <c r="AT87" s="198"/>
      <c r="AU87" s="198">
        <v>80</v>
      </c>
      <c r="AV87" s="198"/>
      <c r="AW87" s="198"/>
      <c r="AX87" s="198"/>
      <c r="AY87" s="198"/>
      <c r="AZ87" s="198">
        <v>70</v>
      </c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V87" s="198"/>
      <c r="BW87" s="198"/>
      <c r="BX87" s="198"/>
      <c r="BY87" s="198"/>
      <c r="BZ87" s="198"/>
      <c r="CA87" s="198"/>
      <c r="CB87" s="198"/>
      <c r="CC87" s="198"/>
      <c r="CD87" s="198">
        <v>85</v>
      </c>
      <c r="CE87" s="198"/>
      <c r="CF87" s="198"/>
      <c r="CG87" s="198"/>
      <c r="CH87" s="198"/>
      <c r="CI87" s="198">
        <v>65</v>
      </c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Z87" s="170">
        <f t="shared" si="1"/>
        <v>860</v>
      </c>
    </row>
    <row r="88" spans="1:104" ht="12.75">
      <c r="A88" s="149" t="s">
        <v>220</v>
      </c>
      <c r="B88" s="123" t="s">
        <v>152</v>
      </c>
      <c r="F88" s="188"/>
      <c r="G88" s="188"/>
      <c r="J88" s="188"/>
      <c r="N88" s="188"/>
      <c r="P88" s="201"/>
      <c r="Q88" s="188"/>
      <c r="R88" s="201"/>
      <c r="S88" s="201"/>
      <c r="T88" s="198"/>
      <c r="U88" s="198"/>
      <c r="V88" s="198"/>
      <c r="W88" s="198"/>
      <c r="X88" s="198">
        <v>90</v>
      </c>
      <c r="Y88" s="198">
        <v>80</v>
      </c>
      <c r="Z88" s="198"/>
      <c r="AA88" s="198">
        <v>180</v>
      </c>
      <c r="AB88" s="198"/>
      <c r="AC88" s="198"/>
      <c r="AD88" s="198"/>
      <c r="AE88" s="198"/>
      <c r="AF88" s="198"/>
      <c r="AG88" s="198">
        <v>60</v>
      </c>
      <c r="AH88" s="198">
        <v>70</v>
      </c>
      <c r="AI88" s="198"/>
      <c r="AJ88" s="198"/>
      <c r="AK88" s="198">
        <v>60</v>
      </c>
      <c r="AL88" s="198"/>
      <c r="AM88" s="198"/>
      <c r="AN88" s="198"/>
      <c r="AO88" s="198"/>
      <c r="AP88" s="198"/>
      <c r="AQ88" s="198">
        <v>90</v>
      </c>
      <c r="AR88" s="198"/>
      <c r="AS88" s="198"/>
      <c r="AT88" s="198"/>
      <c r="AU88" s="198">
        <v>80</v>
      </c>
      <c r="AV88" s="198"/>
      <c r="AW88" s="198"/>
      <c r="AX88" s="198"/>
      <c r="AY88" s="198"/>
      <c r="AZ88" s="198">
        <v>70</v>
      </c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V88" s="198"/>
      <c r="BW88" s="198"/>
      <c r="BX88" s="198"/>
      <c r="BY88" s="198"/>
      <c r="BZ88" s="198"/>
      <c r="CA88" s="198"/>
      <c r="CB88" s="198">
        <v>60</v>
      </c>
      <c r="CC88" s="198"/>
      <c r="CD88" s="198">
        <v>85</v>
      </c>
      <c r="CE88" s="198">
        <v>75</v>
      </c>
      <c r="CF88" s="198"/>
      <c r="CG88" s="198"/>
      <c r="CH88" s="198"/>
      <c r="CI88" s="198"/>
      <c r="CJ88" s="198">
        <v>60</v>
      </c>
      <c r="CK88" s="198">
        <v>60</v>
      </c>
      <c r="CL88" s="198">
        <v>70</v>
      </c>
      <c r="CM88" s="198"/>
      <c r="CN88" s="198"/>
      <c r="CO88" s="198"/>
      <c r="CP88" s="198">
        <v>200</v>
      </c>
      <c r="CQ88" s="198"/>
      <c r="CR88" s="198"/>
      <c r="CS88" s="198"/>
      <c r="CT88" s="198"/>
      <c r="CU88" s="198"/>
      <c r="CV88" s="198"/>
      <c r="CW88" s="198"/>
      <c r="CX88" s="198"/>
      <c r="CZ88" s="170">
        <f t="shared" si="1"/>
        <v>1390</v>
      </c>
    </row>
    <row r="89" spans="1:104" ht="12.75">
      <c r="A89" s="149" t="s">
        <v>250</v>
      </c>
      <c r="B89" s="123" t="s">
        <v>152</v>
      </c>
      <c r="F89" s="188"/>
      <c r="G89" s="188"/>
      <c r="J89" s="188"/>
      <c r="N89" s="188"/>
      <c r="P89" s="201"/>
      <c r="Q89" s="188"/>
      <c r="R89" s="201"/>
      <c r="S89" s="201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>
        <v>120</v>
      </c>
      <c r="AI89" s="198"/>
      <c r="AJ89" s="198"/>
      <c r="AK89" s="198">
        <v>180</v>
      </c>
      <c r="AL89" s="198"/>
      <c r="AM89" s="198"/>
      <c r="AN89" s="198"/>
      <c r="AO89" s="198"/>
      <c r="AP89" s="198"/>
      <c r="AQ89" s="198">
        <v>170</v>
      </c>
      <c r="AR89" s="198"/>
      <c r="AS89" s="198"/>
      <c r="AT89" s="198"/>
      <c r="AU89" s="198"/>
      <c r="AV89" s="198"/>
      <c r="AW89" s="198"/>
      <c r="AX89" s="198"/>
      <c r="AY89" s="198"/>
      <c r="AZ89" s="198">
        <v>130</v>
      </c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Z89" s="170">
        <f t="shared" si="1"/>
        <v>600</v>
      </c>
    </row>
    <row r="90" spans="1:151" ht="12.75">
      <c r="A90" s="149" t="s">
        <v>179</v>
      </c>
      <c r="B90" s="123" t="s">
        <v>152</v>
      </c>
      <c r="F90" s="188"/>
      <c r="G90" s="188"/>
      <c r="J90" s="188"/>
      <c r="N90" s="188"/>
      <c r="P90" s="201"/>
      <c r="Q90" s="188"/>
      <c r="R90" s="201"/>
      <c r="S90" s="201"/>
      <c r="T90" s="198"/>
      <c r="U90" s="198"/>
      <c r="V90" s="198"/>
      <c r="W90" s="198"/>
      <c r="X90" s="198">
        <v>90</v>
      </c>
      <c r="Y90" s="198">
        <v>80</v>
      </c>
      <c r="Z90" s="198">
        <v>80</v>
      </c>
      <c r="AA90" s="198">
        <v>180</v>
      </c>
      <c r="AB90" s="198"/>
      <c r="AC90" s="198"/>
      <c r="AD90" s="198"/>
      <c r="AE90" s="198"/>
      <c r="AF90" s="198"/>
      <c r="AG90" s="198">
        <v>60</v>
      </c>
      <c r="AH90" s="198">
        <v>70</v>
      </c>
      <c r="AI90" s="198"/>
      <c r="AJ90" s="198"/>
      <c r="AK90" s="198">
        <v>60</v>
      </c>
      <c r="AL90" s="198"/>
      <c r="AM90" s="198"/>
      <c r="AN90" s="198"/>
      <c r="AO90" s="198"/>
      <c r="AP90" s="198"/>
      <c r="AQ90" s="198">
        <v>90</v>
      </c>
      <c r="AR90" s="198"/>
      <c r="AS90" s="198"/>
      <c r="AT90" s="198"/>
      <c r="AU90" s="198">
        <v>80</v>
      </c>
      <c r="AV90" s="198"/>
      <c r="AW90" s="198"/>
      <c r="AX90" s="198">
        <v>70</v>
      </c>
      <c r="AY90" s="198"/>
      <c r="AZ90" s="198">
        <v>70</v>
      </c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V90" s="198"/>
      <c r="BW90" s="198"/>
      <c r="BX90" s="198"/>
      <c r="BY90" s="198"/>
      <c r="BZ90" s="198"/>
      <c r="CA90" s="198"/>
      <c r="CB90" s="198">
        <v>60</v>
      </c>
      <c r="CC90" s="198"/>
      <c r="CD90" s="198">
        <v>85</v>
      </c>
      <c r="CE90" s="198">
        <v>75</v>
      </c>
      <c r="CF90" s="198"/>
      <c r="CG90" s="198"/>
      <c r="CH90" s="198"/>
      <c r="CI90" s="198"/>
      <c r="CJ90" s="198">
        <v>60</v>
      </c>
      <c r="CK90" s="198">
        <v>60</v>
      </c>
      <c r="CL90" s="198">
        <v>70</v>
      </c>
      <c r="CM90" s="198"/>
      <c r="CN90" s="198"/>
      <c r="CO90" s="198"/>
      <c r="CP90" s="198">
        <v>200</v>
      </c>
      <c r="CQ90" s="198"/>
      <c r="CR90" s="198"/>
      <c r="CS90" s="198"/>
      <c r="CT90" s="198"/>
      <c r="CU90" s="198"/>
      <c r="CV90" s="198"/>
      <c r="CW90" s="198"/>
      <c r="CX90" s="198"/>
      <c r="CZ90" s="170">
        <f t="shared" si="1"/>
        <v>1540</v>
      </c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205"/>
    </row>
    <row r="91" spans="1:104" ht="12.75">
      <c r="A91" s="149" t="s">
        <v>251</v>
      </c>
      <c r="B91" s="123" t="s">
        <v>152</v>
      </c>
      <c r="F91" s="188"/>
      <c r="G91" s="188"/>
      <c r="J91" s="188"/>
      <c r="N91" s="188"/>
      <c r="P91" s="201"/>
      <c r="Q91" s="188"/>
      <c r="R91" s="201"/>
      <c r="S91" s="201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>
        <v>170</v>
      </c>
      <c r="AR91" s="198"/>
      <c r="AS91" s="198"/>
      <c r="AT91" s="198"/>
      <c r="AU91" s="198"/>
      <c r="AV91" s="198"/>
      <c r="AW91" s="198"/>
      <c r="AX91" s="198">
        <v>130</v>
      </c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V91" s="198"/>
      <c r="BW91" s="198"/>
      <c r="BX91" s="198"/>
      <c r="BY91" s="198"/>
      <c r="BZ91" s="198"/>
      <c r="CA91" s="198"/>
      <c r="CB91" s="198"/>
      <c r="CC91" s="198"/>
      <c r="CD91" s="198">
        <v>135</v>
      </c>
      <c r="CE91" s="198"/>
      <c r="CF91" s="198"/>
      <c r="CG91" s="198"/>
      <c r="CH91" s="198"/>
      <c r="CI91" s="198"/>
      <c r="CJ91" s="198">
        <v>120</v>
      </c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Z91" s="170">
        <f t="shared" si="1"/>
        <v>555</v>
      </c>
    </row>
    <row r="92" spans="1:107" ht="12.75">
      <c r="A92" s="149" t="s">
        <v>274</v>
      </c>
      <c r="B92" s="123" t="s">
        <v>19</v>
      </c>
      <c r="F92" s="188"/>
      <c r="G92" s="188"/>
      <c r="J92" s="188"/>
      <c r="N92" s="188"/>
      <c r="P92" s="201"/>
      <c r="Q92" s="188"/>
      <c r="R92" s="201"/>
      <c r="S92" s="201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Z92" s="170">
        <f t="shared" si="1"/>
        <v>0</v>
      </c>
      <c r="DC92" s="170"/>
    </row>
    <row r="93" spans="1:151" ht="12.75">
      <c r="A93" s="149" t="s">
        <v>541</v>
      </c>
      <c r="B93" s="123" t="s">
        <v>21</v>
      </c>
      <c r="F93" s="188"/>
      <c r="G93" s="188"/>
      <c r="J93" s="188"/>
      <c r="N93" s="188"/>
      <c r="P93" s="201"/>
      <c r="Q93" s="188"/>
      <c r="R93" s="201"/>
      <c r="S93" s="201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>
        <v>110</v>
      </c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Z93" s="170">
        <f t="shared" si="1"/>
        <v>110</v>
      </c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205"/>
    </row>
    <row r="94" spans="1:151" ht="12.75">
      <c r="A94" s="149" t="s">
        <v>540</v>
      </c>
      <c r="B94" s="123" t="s">
        <v>21</v>
      </c>
      <c r="F94" s="188"/>
      <c r="G94" s="188"/>
      <c r="J94" s="188"/>
      <c r="N94" s="188"/>
      <c r="P94" s="201"/>
      <c r="Q94" s="188"/>
      <c r="R94" s="201"/>
      <c r="S94" s="201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>
        <v>60</v>
      </c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Z94" s="170">
        <f t="shared" si="1"/>
        <v>60</v>
      </c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205"/>
    </row>
    <row r="95" spans="1:104" ht="12.75">
      <c r="A95" s="149" t="s">
        <v>197</v>
      </c>
      <c r="B95" s="123" t="s">
        <v>21</v>
      </c>
      <c r="F95" s="188"/>
      <c r="G95" s="188"/>
      <c r="H95" s="123">
        <v>190</v>
      </c>
      <c r="I95" s="123">
        <v>190</v>
      </c>
      <c r="J95" s="188"/>
      <c r="K95" s="123">
        <v>315</v>
      </c>
      <c r="M95" s="123">
        <v>350</v>
      </c>
      <c r="N95" s="188"/>
      <c r="P95" s="201"/>
      <c r="Q95" s="188"/>
      <c r="R95" s="201"/>
      <c r="S95" s="201"/>
      <c r="T95" s="198"/>
      <c r="U95" s="198"/>
      <c r="V95" s="198"/>
      <c r="W95" s="198"/>
      <c r="X95" s="198"/>
      <c r="Y95" s="198">
        <v>170</v>
      </c>
      <c r="Z95" s="198">
        <v>170</v>
      </c>
      <c r="AA95" s="198">
        <v>275</v>
      </c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>
        <v>240</v>
      </c>
      <c r="AT95" s="198"/>
      <c r="AU95" s="198">
        <v>160</v>
      </c>
      <c r="AV95" s="198"/>
      <c r="AW95" s="198">
        <v>110</v>
      </c>
      <c r="AX95" s="198"/>
      <c r="AY95" s="198"/>
      <c r="AZ95" s="198"/>
      <c r="BA95" s="198"/>
      <c r="BB95" s="198"/>
      <c r="BC95" s="198">
        <v>190</v>
      </c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Z95" s="170">
        <f t="shared" si="1"/>
        <v>2360</v>
      </c>
    </row>
    <row r="96" spans="1:104" ht="12.75">
      <c r="A96" s="149" t="s">
        <v>198</v>
      </c>
      <c r="B96" s="123" t="s">
        <v>21</v>
      </c>
      <c r="E96" s="123">
        <v>240</v>
      </c>
      <c r="F96" s="188">
        <v>60</v>
      </c>
      <c r="G96" s="188">
        <v>60</v>
      </c>
      <c r="J96" s="188">
        <v>60</v>
      </c>
      <c r="K96" s="123">
        <v>315</v>
      </c>
      <c r="M96" s="123">
        <v>350</v>
      </c>
      <c r="N96" s="188">
        <v>60</v>
      </c>
      <c r="O96" s="123">
        <v>300</v>
      </c>
      <c r="P96" s="201"/>
      <c r="Q96" s="188"/>
      <c r="R96" s="201"/>
      <c r="S96" s="201">
        <f>240*1.0885</f>
        <v>261.24</v>
      </c>
      <c r="T96" s="198">
        <v>110</v>
      </c>
      <c r="U96" s="198">
        <v>170</v>
      </c>
      <c r="V96" s="198"/>
      <c r="W96" s="198"/>
      <c r="X96" s="198">
        <v>200</v>
      </c>
      <c r="Y96" s="198"/>
      <c r="Z96" s="198"/>
      <c r="AA96" s="198">
        <v>275</v>
      </c>
      <c r="AB96" s="198"/>
      <c r="AC96" s="198"/>
      <c r="AD96" s="198">
        <v>130</v>
      </c>
      <c r="AE96" s="198"/>
      <c r="AF96" s="198"/>
      <c r="AG96" s="198"/>
      <c r="AH96" s="198"/>
      <c r="AI96" s="198">
        <v>250</v>
      </c>
      <c r="AJ96" s="198"/>
      <c r="AK96" s="198"/>
      <c r="AL96" s="198"/>
      <c r="AM96" s="198">
        <v>250</v>
      </c>
      <c r="AN96" s="198"/>
      <c r="AO96" s="198"/>
      <c r="AP96" s="198"/>
      <c r="AQ96" s="198"/>
      <c r="AR96" s="198"/>
      <c r="AS96" s="198"/>
      <c r="AT96" s="198">
        <v>310</v>
      </c>
      <c r="AU96" s="198">
        <v>210</v>
      </c>
      <c r="AV96" s="198"/>
      <c r="AW96" s="198"/>
      <c r="AX96" s="198">
        <v>130</v>
      </c>
      <c r="AY96" s="198"/>
      <c r="AZ96" s="198"/>
      <c r="BA96" s="198">
        <v>110</v>
      </c>
      <c r="BB96" s="198"/>
      <c r="BC96" s="198"/>
      <c r="BD96" s="198"/>
      <c r="BE96" s="198"/>
      <c r="BF96" s="198"/>
      <c r="BG96" s="198"/>
      <c r="BH96" s="198">
        <v>400</v>
      </c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V96" s="198"/>
      <c r="BW96" s="198"/>
      <c r="BX96" s="198"/>
      <c r="BY96" s="198"/>
      <c r="BZ96" s="198"/>
      <c r="CA96" s="198"/>
      <c r="CB96" s="198">
        <v>110</v>
      </c>
      <c r="CC96" s="198"/>
      <c r="CD96" s="198">
        <v>135</v>
      </c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>
        <f>320+50</f>
        <v>370</v>
      </c>
      <c r="CQ96" s="198">
        <v>60</v>
      </c>
      <c r="CR96" s="198">
        <v>280</v>
      </c>
      <c r="CS96" s="198"/>
      <c r="CT96" s="198">
        <v>60</v>
      </c>
      <c r="CU96" s="198"/>
      <c r="CV96" s="198"/>
      <c r="CW96" s="198"/>
      <c r="CX96" s="198"/>
      <c r="CZ96" s="170">
        <f t="shared" si="1"/>
        <v>5266.24</v>
      </c>
    </row>
    <row r="97" spans="1:104" ht="12.75">
      <c r="A97" s="149" t="s">
        <v>199</v>
      </c>
      <c r="B97" s="123" t="s">
        <v>21</v>
      </c>
      <c r="F97" s="188"/>
      <c r="G97" s="188"/>
      <c r="J97" s="188"/>
      <c r="M97" s="123">
        <v>260</v>
      </c>
      <c r="N97" s="188"/>
      <c r="O97" s="123">
        <v>150</v>
      </c>
      <c r="P97" s="201"/>
      <c r="Q97" s="188"/>
      <c r="R97" s="201"/>
      <c r="S97" s="201">
        <f>340*1.0885</f>
        <v>370.09000000000003</v>
      </c>
      <c r="T97" s="198"/>
      <c r="U97" s="198"/>
      <c r="V97" s="198"/>
      <c r="W97" s="198"/>
      <c r="X97" s="198">
        <v>270</v>
      </c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>
        <v>170</v>
      </c>
      <c r="AP97" s="198"/>
      <c r="AQ97" s="198">
        <v>170</v>
      </c>
      <c r="AR97" s="198"/>
      <c r="AS97" s="198">
        <v>170</v>
      </c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>
        <v>200</v>
      </c>
      <c r="BG97" s="198">
        <v>200</v>
      </c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Z97" s="170">
        <f t="shared" si="1"/>
        <v>1960.0900000000001</v>
      </c>
    </row>
    <row r="98" spans="1:104" ht="12.75">
      <c r="A98" s="149" t="s">
        <v>106</v>
      </c>
      <c r="B98" s="123" t="s">
        <v>21</v>
      </c>
      <c r="F98" s="188"/>
      <c r="G98" s="188"/>
      <c r="H98" s="123">
        <v>190</v>
      </c>
      <c r="J98" s="188"/>
      <c r="N98" s="188"/>
      <c r="P98" s="201"/>
      <c r="Q98" s="188"/>
      <c r="R98" s="201"/>
      <c r="S98" s="201">
        <f>340*1.0885</f>
        <v>370.09000000000003</v>
      </c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>
        <v>170</v>
      </c>
      <c r="AT98" s="198"/>
      <c r="AU98" s="198"/>
      <c r="AV98" s="198"/>
      <c r="AW98" s="198">
        <v>110</v>
      </c>
      <c r="AX98" s="198"/>
      <c r="AY98" s="198"/>
      <c r="AZ98" s="198"/>
      <c r="BA98" s="198"/>
      <c r="BB98" s="198"/>
      <c r="BC98" s="198"/>
      <c r="BD98" s="198"/>
      <c r="BE98" s="198"/>
      <c r="BF98" s="198">
        <v>200</v>
      </c>
      <c r="BG98" s="198">
        <v>200</v>
      </c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Z98" s="170">
        <f t="shared" si="1"/>
        <v>1240.0900000000001</v>
      </c>
    </row>
    <row r="99" spans="1:104" ht="12.75">
      <c r="A99" s="149" t="s">
        <v>196</v>
      </c>
      <c r="B99" s="123" t="s">
        <v>21</v>
      </c>
      <c r="F99" s="188"/>
      <c r="G99" s="188"/>
      <c r="H99" s="123">
        <v>190</v>
      </c>
      <c r="I99" s="123">
        <v>190</v>
      </c>
      <c r="J99" s="188"/>
      <c r="K99" s="123">
        <v>315</v>
      </c>
      <c r="M99" s="123">
        <v>260</v>
      </c>
      <c r="N99" s="188"/>
      <c r="O99" s="123">
        <v>150</v>
      </c>
      <c r="P99" s="201"/>
      <c r="Q99" s="188"/>
      <c r="R99" s="201">
        <f>(70+80)*1.0885</f>
        <v>163.275</v>
      </c>
      <c r="S99" s="201">
        <f>240*1.0885</f>
        <v>261.24</v>
      </c>
      <c r="T99" s="198"/>
      <c r="U99" s="198"/>
      <c r="V99" s="198"/>
      <c r="W99" s="198"/>
      <c r="X99" s="198">
        <v>300</v>
      </c>
      <c r="Y99" s="198"/>
      <c r="Z99" s="198"/>
      <c r="AA99" s="198">
        <v>95</v>
      </c>
      <c r="AB99" s="198"/>
      <c r="AC99" s="198"/>
      <c r="AD99" s="198"/>
      <c r="AE99" s="198"/>
      <c r="AF99" s="198"/>
      <c r="AG99" s="198"/>
      <c r="AH99" s="198"/>
      <c r="AI99" s="198">
        <v>250</v>
      </c>
      <c r="AJ99" s="198"/>
      <c r="AK99" s="198"/>
      <c r="AL99" s="198"/>
      <c r="AM99" s="198"/>
      <c r="AN99" s="198"/>
      <c r="AO99" s="198">
        <v>170</v>
      </c>
      <c r="AP99" s="198"/>
      <c r="AQ99" s="198">
        <v>170</v>
      </c>
      <c r="AR99" s="198"/>
      <c r="AS99" s="198">
        <v>170</v>
      </c>
      <c r="AT99" s="198"/>
      <c r="AU99" s="198"/>
      <c r="AV99" s="198"/>
      <c r="AW99" s="198">
        <v>110</v>
      </c>
      <c r="AX99" s="198"/>
      <c r="AY99" s="198"/>
      <c r="AZ99" s="198"/>
      <c r="BA99" s="198"/>
      <c r="BB99" s="198"/>
      <c r="BC99" s="198">
        <v>190</v>
      </c>
      <c r="BD99" s="198"/>
      <c r="BE99" s="198"/>
      <c r="BF99" s="198"/>
      <c r="BG99" s="198"/>
      <c r="BH99" s="198">
        <v>400</v>
      </c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V99" s="198"/>
      <c r="BW99" s="198"/>
      <c r="BX99" s="198"/>
      <c r="BY99" s="198"/>
      <c r="BZ99" s="198"/>
      <c r="CA99" s="198"/>
      <c r="CB99" s="198">
        <v>110</v>
      </c>
      <c r="CC99" s="198"/>
      <c r="CD99" s="198">
        <v>175</v>
      </c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Z99" s="170">
        <f t="shared" si="1"/>
        <v>3669.5150000000003</v>
      </c>
    </row>
    <row r="100" spans="1:150" ht="12.75">
      <c r="A100" s="149" t="s">
        <v>159</v>
      </c>
      <c r="B100" s="123" t="s">
        <v>18</v>
      </c>
      <c r="F100" s="188"/>
      <c r="G100" s="188"/>
      <c r="J100" s="188"/>
      <c r="N100" s="188"/>
      <c r="P100" s="201"/>
      <c r="Q100" s="188"/>
      <c r="R100" s="201"/>
      <c r="S100" s="201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Z100" s="170">
        <f t="shared" si="1"/>
        <v>0</v>
      </c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</row>
    <row r="101" spans="1:104" ht="12.75">
      <c r="A101" s="149" t="s">
        <v>107</v>
      </c>
      <c r="B101" s="123" t="s">
        <v>21</v>
      </c>
      <c r="F101" s="188"/>
      <c r="G101" s="188"/>
      <c r="J101" s="188"/>
      <c r="N101" s="188"/>
      <c r="P101" s="201"/>
      <c r="Q101" s="188"/>
      <c r="R101" s="201"/>
      <c r="S101" s="201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Z101" s="170">
        <f t="shared" si="1"/>
        <v>0</v>
      </c>
    </row>
    <row r="102" spans="1:104" ht="12.75">
      <c r="A102" s="149" t="s">
        <v>200</v>
      </c>
      <c r="B102" s="123" t="s">
        <v>21</v>
      </c>
      <c r="F102" s="188"/>
      <c r="G102" s="188"/>
      <c r="J102" s="188"/>
      <c r="N102" s="188"/>
      <c r="P102" s="201"/>
      <c r="Q102" s="188"/>
      <c r="R102" s="201"/>
      <c r="S102" s="201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>
        <v>110</v>
      </c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Z102" s="170">
        <f t="shared" si="1"/>
        <v>110</v>
      </c>
    </row>
    <row r="103" spans="1:104" ht="12.75">
      <c r="A103" s="149" t="s">
        <v>678</v>
      </c>
      <c r="B103" s="123" t="s">
        <v>21</v>
      </c>
      <c r="F103" s="188"/>
      <c r="G103" s="188"/>
      <c r="J103" s="188"/>
      <c r="N103" s="188"/>
      <c r="P103" s="201"/>
      <c r="Q103" s="188"/>
      <c r="R103" s="201"/>
      <c r="S103" s="201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Z103" s="170">
        <f t="shared" si="1"/>
        <v>0</v>
      </c>
    </row>
    <row r="104" spans="1:150" ht="12.75">
      <c r="A104" s="149" t="s">
        <v>836</v>
      </c>
      <c r="B104" s="123" t="s">
        <v>18</v>
      </c>
      <c r="F104" s="188"/>
      <c r="G104" s="188"/>
      <c r="J104" s="188"/>
      <c r="N104" s="188"/>
      <c r="P104" s="201"/>
      <c r="Q104" s="188"/>
      <c r="R104" s="201"/>
      <c r="S104" s="201"/>
      <c r="T104" s="198"/>
      <c r="U104" s="198"/>
      <c r="V104" s="198"/>
      <c r="W104" s="198"/>
      <c r="X104" s="198"/>
      <c r="Y104" s="198"/>
      <c r="Z104" s="198"/>
      <c r="AA104" s="198">
        <v>180</v>
      </c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Z104" s="170">
        <f>SUM(C104:CY104)</f>
        <v>180</v>
      </c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</row>
    <row r="105" spans="1:104" ht="12.75">
      <c r="A105" s="149" t="s">
        <v>929</v>
      </c>
      <c r="B105" s="123" t="s">
        <v>21</v>
      </c>
      <c r="F105" s="188"/>
      <c r="G105" s="188"/>
      <c r="J105" s="188"/>
      <c r="N105" s="188"/>
      <c r="P105" s="201"/>
      <c r="Q105" s="188"/>
      <c r="R105" s="201"/>
      <c r="S105" s="201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>
        <v>75</v>
      </c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Z105" s="170">
        <f>SUM(C105:CY105)</f>
        <v>75</v>
      </c>
    </row>
    <row r="106" spans="1:151" ht="12.75">
      <c r="A106" s="149" t="s">
        <v>73</v>
      </c>
      <c r="B106" s="123" t="s">
        <v>18</v>
      </c>
      <c r="C106" s="170"/>
      <c r="D106" s="170"/>
      <c r="E106" s="170"/>
      <c r="F106" s="188"/>
      <c r="G106" s="188"/>
      <c r="H106" s="170"/>
      <c r="I106" s="170"/>
      <c r="J106" s="188"/>
      <c r="K106" s="170"/>
      <c r="L106" s="170"/>
      <c r="M106" s="198">
        <v>280</v>
      </c>
      <c r="N106" s="188"/>
      <c r="O106" s="170"/>
      <c r="P106" s="201"/>
      <c r="Q106" s="188"/>
      <c r="R106" s="201">
        <f>(130+30)*1.0885</f>
        <v>174.16</v>
      </c>
      <c r="S106" s="201">
        <f>340*1.0885</f>
        <v>370.09000000000003</v>
      </c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>
        <v>300</v>
      </c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>
        <v>300</v>
      </c>
      <c r="CQ106" s="198"/>
      <c r="CR106" s="198"/>
      <c r="CS106" s="198"/>
      <c r="CT106" s="198"/>
      <c r="CU106" s="198"/>
      <c r="CV106" s="198"/>
      <c r="CW106" s="198"/>
      <c r="CX106" s="198"/>
      <c r="CZ106" s="170">
        <f t="shared" si="1"/>
        <v>1424.25</v>
      </c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205"/>
    </row>
    <row r="107" spans="1:151" ht="12.75">
      <c r="A107" s="149" t="s">
        <v>74</v>
      </c>
      <c r="B107" s="123" t="s">
        <v>18</v>
      </c>
      <c r="F107" s="188">
        <v>60</v>
      </c>
      <c r="G107" s="188">
        <v>60</v>
      </c>
      <c r="H107" s="123">
        <v>190</v>
      </c>
      <c r="I107" s="123">
        <v>190</v>
      </c>
      <c r="J107" s="188"/>
      <c r="K107" s="123">
        <v>210</v>
      </c>
      <c r="L107" s="123">
        <v>190</v>
      </c>
      <c r="M107" s="123">
        <v>350</v>
      </c>
      <c r="N107" s="188"/>
      <c r="O107" s="123">
        <v>250</v>
      </c>
      <c r="P107" s="201">
        <v>50</v>
      </c>
      <c r="Q107" s="188">
        <v>60</v>
      </c>
      <c r="R107" s="201">
        <f>(80+30)*1.0885</f>
        <v>119.735</v>
      </c>
      <c r="S107" s="201">
        <f>240*1.0885</f>
        <v>261.24</v>
      </c>
      <c r="T107" s="198">
        <v>110</v>
      </c>
      <c r="U107" s="198">
        <v>170</v>
      </c>
      <c r="V107" s="198">
        <v>210</v>
      </c>
      <c r="W107" s="198">
        <v>125</v>
      </c>
      <c r="X107" s="198">
        <v>200</v>
      </c>
      <c r="Y107" s="198">
        <v>170</v>
      </c>
      <c r="Z107" s="198">
        <v>170</v>
      </c>
      <c r="AA107" s="198">
        <v>275</v>
      </c>
      <c r="AB107" s="198"/>
      <c r="AC107" s="198"/>
      <c r="AD107" s="198"/>
      <c r="AE107" s="198"/>
      <c r="AF107" s="198"/>
      <c r="AG107" s="198"/>
      <c r="AH107" s="198"/>
      <c r="AI107" s="198">
        <v>250</v>
      </c>
      <c r="AJ107" s="198"/>
      <c r="AK107" s="198"/>
      <c r="AL107" s="198"/>
      <c r="AM107" s="198">
        <v>250</v>
      </c>
      <c r="AN107" s="198"/>
      <c r="AO107" s="198"/>
      <c r="AP107" s="198"/>
      <c r="AQ107" s="198"/>
      <c r="AR107" s="198"/>
      <c r="AS107" s="198"/>
      <c r="AT107" s="198">
        <v>310</v>
      </c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>
        <v>200</v>
      </c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V107" s="198"/>
      <c r="BW107" s="198"/>
      <c r="BX107" s="198"/>
      <c r="BY107" s="198"/>
      <c r="BZ107" s="198"/>
      <c r="CA107" s="198"/>
      <c r="CB107" s="198"/>
      <c r="CC107" s="198"/>
      <c r="CD107" s="198">
        <v>135</v>
      </c>
      <c r="CE107" s="198">
        <v>135</v>
      </c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>
        <v>320</v>
      </c>
      <c r="CQ107" s="198">
        <v>60</v>
      </c>
      <c r="CR107" s="198"/>
      <c r="CS107" s="198"/>
      <c r="CT107" s="198"/>
      <c r="CU107" s="198"/>
      <c r="CV107" s="198">
        <f>527/3</f>
        <v>175.66666666666666</v>
      </c>
      <c r="CW107" s="198"/>
      <c r="CX107" s="198"/>
      <c r="CZ107" s="170">
        <f t="shared" si="1"/>
        <v>5256.641666666667</v>
      </c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205"/>
    </row>
    <row r="108" spans="1:151" ht="12.75">
      <c r="A108" s="149" t="s">
        <v>75</v>
      </c>
      <c r="B108" s="123" t="s">
        <v>18</v>
      </c>
      <c r="F108" s="188"/>
      <c r="G108" s="188"/>
      <c r="J108" s="188"/>
      <c r="M108" s="123">
        <v>180</v>
      </c>
      <c r="N108" s="188"/>
      <c r="P108" s="201"/>
      <c r="Q108" s="188"/>
      <c r="R108" s="201"/>
      <c r="S108" s="201">
        <f>340*1.0885</f>
        <v>370.09000000000003</v>
      </c>
      <c r="T108" s="198"/>
      <c r="U108" s="198"/>
      <c r="V108" s="198"/>
      <c r="W108" s="198"/>
      <c r="X108" s="198">
        <v>180</v>
      </c>
      <c r="Y108" s="198"/>
      <c r="Z108" s="198">
        <v>170</v>
      </c>
      <c r="AA108" s="198">
        <v>275</v>
      </c>
      <c r="AB108" s="198"/>
      <c r="AC108" s="198"/>
      <c r="AD108" s="198"/>
      <c r="AE108" s="198"/>
      <c r="AF108" s="198"/>
      <c r="AG108" s="198">
        <v>120</v>
      </c>
      <c r="AH108" s="198"/>
      <c r="AI108" s="198"/>
      <c r="AJ108" s="198">
        <v>90</v>
      </c>
      <c r="AK108" s="198"/>
      <c r="AL108" s="198"/>
      <c r="AM108" s="198"/>
      <c r="AN108" s="198"/>
      <c r="AO108" s="198"/>
      <c r="AP108" s="198"/>
      <c r="AQ108" s="198">
        <v>170</v>
      </c>
      <c r="AR108" s="198"/>
      <c r="AS108" s="198"/>
      <c r="AT108" s="198"/>
      <c r="AU108" s="198"/>
      <c r="AV108" s="198"/>
      <c r="AW108" s="198">
        <v>110</v>
      </c>
      <c r="AX108" s="198"/>
      <c r="AY108" s="198"/>
      <c r="AZ108" s="198">
        <v>130</v>
      </c>
      <c r="BA108" s="198"/>
      <c r="BB108" s="198"/>
      <c r="BC108" s="198"/>
      <c r="BD108" s="198">
        <v>150</v>
      </c>
      <c r="BE108" s="198"/>
      <c r="BF108" s="198">
        <v>200</v>
      </c>
      <c r="BG108" s="198">
        <v>200</v>
      </c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>
        <v>180</v>
      </c>
      <c r="CL108" s="198">
        <v>130</v>
      </c>
      <c r="CM108" s="198"/>
      <c r="CN108" s="198"/>
      <c r="CO108" s="198"/>
      <c r="CP108" s="198">
        <v>300</v>
      </c>
      <c r="CQ108" s="198"/>
      <c r="CR108" s="198"/>
      <c r="CS108" s="198"/>
      <c r="CT108" s="198"/>
      <c r="CU108" s="198"/>
      <c r="CV108" s="198"/>
      <c r="CW108" s="198"/>
      <c r="CX108" s="198"/>
      <c r="CZ108" s="170">
        <f t="shared" si="1"/>
        <v>2955.09</v>
      </c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205"/>
    </row>
    <row r="109" spans="1:151" ht="12.75">
      <c r="A109" s="149" t="s">
        <v>76</v>
      </c>
      <c r="B109" s="123" t="s">
        <v>18</v>
      </c>
      <c r="E109" s="123">
        <v>380</v>
      </c>
      <c r="F109" s="188"/>
      <c r="G109" s="188"/>
      <c r="J109" s="188"/>
      <c r="K109" s="123">
        <v>120</v>
      </c>
      <c r="L109" s="123">
        <v>140</v>
      </c>
      <c r="M109" s="123">
        <f>280+80</f>
        <v>360</v>
      </c>
      <c r="N109" s="188"/>
      <c r="P109" s="201"/>
      <c r="Q109" s="188"/>
      <c r="R109" s="201"/>
      <c r="S109" s="201">
        <f>240*1.0885</f>
        <v>261.24</v>
      </c>
      <c r="T109" s="198"/>
      <c r="U109" s="198"/>
      <c r="V109" s="198"/>
      <c r="W109" s="198"/>
      <c r="X109" s="198">
        <v>90</v>
      </c>
      <c r="Y109" s="198">
        <v>80</v>
      </c>
      <c r="Z109" s="198">
        <v>80</v>
      </c>
      <c r="AA109" s="198">
        <v>180</v>
      </c>
      <c r="AB109" s="198"/>
      <c r="AC109" s="198"/>
      <c r="AD109" s="198"/>
      <c r="AE109" s="198"/>
      <c r="AF109" s="198"/>
      <c r="AG109" s="198">
        <v>60</v>
      </c>
      <c r="AH109" s="198">
        <v>100</v>
      </c>
      <c r="AI109" s="198"/>
      <c r="AJ109" s="198"/>
      <c r="AK109" s="198">
        <v>60</v>
      </c>
      <c r="AL109" s="198"/>
      <c r="AM109" s="198"/>
      <c r="AN109" s="198"/>
      <c r="AO109" s="198"/>
      <c r="AP109" s="198"/>
      <c r="AQ109" s="198">
        <v>90</v>
      </c>
      <c r="AR109" s="198"/>
      <c r="AS109" s="198"/>
      <c r="AT109" s="198"/>
      <c r="AU109" s="198"/>
      <c r="AV109" s="198"/>
      <c r="AW109" s="198">
        <v>60</v>
      </c>
      <c r="AX109" s="198"/>
      <c r="AY109" s="198"/>
      <c r="AZ109" s="198">
        <v>70</v>
      </c>
      <c r="BA109" s="198"/>
      <c r="BB109" s="198"/>
      <c r="BC109" s="198"/>
      <c r="BD109" s="198">
        <v>80</v>
      </c>
      <c r="BE109" s="198"/>
      <c r="BF109" s="198">
        <v>100</v>
      </c>
      <c r="BG109" s="198">
        <v>100</v>
      </c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V109" s="198"/>
      <c r="BW109" s="198"/>
      <c r="BX109" s="198"/>
      <c r="BY109" s="198">
        <v>80</v>
      </c>
      <c r="BZ109" s="198"/>
      <c r="CA109" s="198"/>
      <c r="CB109" s="198"/>
      <c r="CC109" s="198"/>
      <c r="CD109" s="198">
        <v>85</v>
      </c>
      <c r="CE109" s="198"/>
      <c r="CF109" s="198"/>
      <c r="CG109" s="198"/>
      <c r="CH109" s="198"/>
      <c r="CI109" s="198"/>
      <c r="CJ109" s="198"/>
      <c r="CK109" s="198">
        <v>60</v>
      </c>
      <c r="CL109" s="198">
        <v>70</v>
      </c>
      <c r="CM109" s="198"/>
      <c r="CN109" s="198"/>
      <c r="CO109" s="198"/>
      <c r="CP109" s="198">
        <v>200</v>
      </c>
      <c r="CQ109" s="198"/>
      <c r="CR109" s="198"/>
      <c r="CS109" s="198"/>
      <c r="CT109" s="198"/>
      <c r="CU109" s="198"/>
      <c r="CV109" s="198"/>
      <c r="CW109" s="198"/>
      <c r="CX109" s="198"/>
      <c r="CZ109" s="170">
        <f t="shared" si="1"/>
        <v>2906.24</v>
      </c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205"/>
    </row>
    <row r="110" spans="1:150" ht="12.75">
      <c r="A110" s="149" t="s">
        <v>161</v>
      </c>
      <c r="B110" s="123" t="s">
        <v>18</v>
      </c>
      <c r="E110" s="123">
        <v>230</v>
      </c>
      <c r="F110" s="188"/>
      <c r="G110" s="188"/>
      <c r="J110" s="188"/>
      <c r="N110" s="188"/>
      <c r="P110" s="201"/>
      <c r="Q110" s="188"/>
      <c r="R110" s="201"/>
      <c r="S110" s="201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Z110" s="170">
        <f t="shared" si="1"/>
        <v>230</v>
      </c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</row>
    <row r="111" spans="1:150" ht="12.75">
      <c r="A111" s="149" t="s">
        <v>168</v>
      </c>
      <c r="B111" s="123" t="s">
        <v>18</v>
      </c>
      <c r="E111" s="123">
        <v>230</v>
      </c>
      <c r="F111" s="188"/>
      <c r="G111" s="188"/>
      <c r="J111" s="188"/>
      <c r="N111" s="188"/>
      <c r="P111" s="201"/>
      <c r="Q111" s="188"/>
      <c r="R111" s="201"/>
      <c r="S111" s="201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V111" s="198"/>
      <c r="BW111" s="198"/>
      <c r="BX111" s="198"/>
      <c r="BY111" s="198"/>
      <c r="BZ111" s="198"/>
      <c r="CA111" s="198"/>
      <c r="CB111" s="198"/>
      <c r="CC111" s="198"/>
      <c r="CD111" s="198">
        <v>85</v>
      </c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>
        <v>200</v>
      </c>
      <c r="CQ111" s="198"/>
      <c r="CR111" s="198"/>
      <c r="CS111" s="198"/>
      <c r="CT111" s="198"/>
      <c r="CU111" s="198"/>
      <c r="CV111" s="198"/>
      <c r="CW111" s="198"/>
      <c r="CX111" s="198"/>
      <c r="CZ111" s="170">
        <f t="shared" si="1"/>
        <v>515</v>
      </c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</row>
    <row r="112" spans="1:150" ht="12.75">
      <c r="A112" s="149" t="s">
        <v>160</v>
      </c>
      <c r="B112" s="123" t="s">
        <v>18</v>
      </c>
      <c r="F112" s="188"/>
      <c r="G112" s="188"/>
      <c r="J112" s="188"/>
      <c r="N112" s="188"/>
      <c r="P112" s="201"/>
      <c r="Q112" s="188"/>
      <c r="R112" s="201"/>
      <c r="S112" s="201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Z112" s="170">
        <f t="shared" si="1"/>
        <v>0</v>
      </c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</row>
    <row r="113" spans="1:150" ht="12.75">
      <c r="A113" s="149" t="s">
        <v>174</v>
      </c>
      <c r="B113" s="123" t="s">
        <v>18</v>
      </c>
      <c r="E113" s="123">
        <v>230</v>
      </c>
      <c r="F113" s="188"/>
      <c r="G113" s="188"/>
      <c r="J113" s="188"/>
      <c r="N113" s="188"/>
      <c r="P113" s="201"/>
      <c r="Q113" s="188"/>
      <c r="R113" s="201"/>
      <c r="S113" s="201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>
        <v>200</v>
      </c>
      <c r="CQ113" s="198"/>
      <c r="CR113" s="198"/>
      <c r="CS113" s="198"/>
      <c r="CT113" s="198"/>
      <c r="CU113" s="198"/>
      <c r="CV113" s="198"/>
      <c r="CW113" s="198"/>
      <c r="CX113" s="198"/>
      <c r="CZ113" s="170">
        <f t="shared" si="1"/>
        <v>430</v>
      </c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</row>
    <row r="114" spans="1:104" ht="12.75">
      <c r="A114" s="149" t="s">
        <v>271</v>
      </c>
      <c r="B114" s="123" t="s">
        <v>18</v>
      </c>
      <c r="F114" s="188"/>
      <c r="G114" s="188"/>
      <c r="J114" s="188"/>
      <c r="N114" s="188"/>
      <c r="P114" s="201"/>
      <c r="Q114" s="188"/>
      <c r="R114" s="201"/>
      <c r="S114" s="201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Z114" s="170">
        <f t="shared" si="1"/>
        <v>0</v>
      </c>
    </row>
    <row r="115" spans="1:150" ht="12.75">
      <c r="A115" s="149" t="s">
        <v>928</v>
      </c>
      <c r="B115" s="123" t="s">
        <v>18</v>
      </c>
      <c r="F115" s="188"/>
      <c r="G115" s="188"/>
      <c r="J115" s="188"/>
      <c r="N115" s="188"/>
      <c r="P115" s="201"/>
      <c r="Q115" s="188"/>
      <c r="R115" s="201"/>
      <c r="S115" s="201"/>
      <c r="T115" s="198"/>
      <c r="U115" s="198"/>
      <c r="V115" s="198"/>
      <c r="W115" s="198"/>
      <c r="X115" s="198"/>
      <c r="Y115" s="198"/>
      <c r="Z115" s="198"/>
      <c r="AA115" s="198">
        <v>90</v>
      </c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>
        <v>100</v>
      </c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>
        <v>65</v>
      </c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Z115" s="170">
        <f t="shared" si="1"/>
        <v>255</v>
      </c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</row>
    <row r="116" spans="1:151" ht="12.75">
      <c r="A116" s="149" t="s">
        <v>267</v>
      </c>
      <c r="B116" s="123" t="s">
        <v>18</v>
      </c>
      <c r="F116" s="188"/>
      <c r="G116" s="188"/>
      <c r="J116" s="188"/>
      <c r="N116" s="188"/>
      <c r="P116" s="201"/>
      <c r="Q116" s="188"/>
      <c r="R116" s="201"/>
      <c r="S116" s="201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Z116" s="170">
        <f t="shared" si="1"/>
        <v>0</v>
      </c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205"/>
    </row>
    <row r="117" spans="1:151" ht="12.75">
      <c r="A117" s="149" t="s">
        <v>77</v>
      </c>
      <c r="B117" s="123" t="s">
        <v>18</v>
      </c>
      <c r="F117" s="188"/>
      <c r="G117" s="188"/>
      <c r="J117" s="188"/>
      <c r="N117" s="188"/>
      <c r="P117" s="201"/>
      <c r="Q117" s="188"/>
      <c r="R117" s="201"/>
      <c r="S117" s="201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>
        <v>130</v>
      </c>
      <c r="AE117" s="198"/>
      <c r="AF117" s="198"/>
      <c r="AG117" s="198">
        <v>120</v>
      </c>
      <c r="AH117" s="198">
        <v>120</v>
      </c>
      <c r="AI117" s="198"/>
      <c r="AJ117" s="198"/>
      <c r="AK117" s="198"/>
      <c r="AL117" s="198"/>
      <c r="AM117" s="198"/>
      <c r="AN117" s="198"/>
      <c r="AO117" s="198"/>
      <c r="AP117" s="198"/>
      <c r="AQ117" s="198">
        <v>170</v>
      </c>
      <c r="AR117" s="198"/>
      <c r="AS117" s="198"/>
      <c r="AT117" s="198"/>
      <c r="AU117" s="198"/>
      <c r="AV117" s="198"/>
      <c r="AW117" s="198">
        <v>110</v>
      </c>
      <c r="AX117" s="198">
        <v>130</v>
      </c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V117" s="198"/>
      <c r="BW117" s="198"/>
      <c r="BX117" s="198"/>
      <c r="BY117" s="198">
        <v>160</v>
      </c>
      <c r="BZ117" s="198">
        <v>180</v>
      </c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Z117" s="170">
        <f t="shared" si="1"/>
        <v>1120</v>
      </c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205"/>
    </row>
    <row r="118" spans="1:151" ht="12.75">
      <c r="A118" s="149" t="s">
        <v>833</v>
      </c>
      <c r="B118" s="123" t="s">
        <v>21</v>
      </c>
      <c r="F118" s="188"/>
      <c r="G118" s="188"/>
      <c r="J118" s="188"/>
      <c r="N118" s="188"/>
      <c r="P118" s="201"/>
      <c r="Q118" s="188"/>
      <c r="R118" s="201"/>
      <c r="S118" s="201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V118" s="198"/>
      <c r="BW118" s="198">
        <v>100</v>
      </c>
      <c r="BX118" s="198"/>
      <c r="BY118" s="198"/>
      <c r="BZ118" s="198"/>
      <c r="CA118" s="198"/>
      <c r="CB118" s="198">
        <v>165</v>
      </c>
      <c r="CC118" s="198"/>
      <c r="CD118" s="198">
        <v>135</v>
      </c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Z118" s="170">
        <f t="shared" si="1"/>
        <v>400</v>
      </c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205"/>
    </row>
    <row r="119" spans="1:151" ht="12.75">
      <c r="A119" s="149" t="s">
        <v>262</v>
      </c>
      <c r="B119" s="123" t="s">
        <v>18</v>
      </c>
      <c r="F119" s="188"/>
      <c r="G119" s="188"/>
      <c r="J119" s="188"/>
      <c r="N119" s="188"/>
      <c r="P119" s="201"/>
      <c r="Q119" s="188"/>
      <c r="R119" s="201"/>
      <c r="S119" s="201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Z119" s="170">
        <f t="shared" si="1"/>
        <v>0</v>
      </c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205"/>
    </row>
    <row r="120" spans="1:151" ht="12.75">
      <c r="A120" s="149" t="s">
        <v>249</v>
      </c>
      <c r="B120" s="123" t="s">
        <v>18</v>
      </c>
      <c r="F120" s="188"/>
      <c r="G120" s="188"/>
      <c r="J120" s="188"/>
      <c r="N120" s="188"/>
      <c r="P120" s="201"/>
      <c r="Q120" s="188"/>
      <c r="R120" s="201"/>
      <c r="S120" s="201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Z120" s="170">
        <f t="shared" si="1"/>
        <v>0</v>
      </c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205"/>
    </row>
    <row r="121" spans="1:150" ht="12.75">
      <c r="A121" s="149" t="s">
        <v>592</v>
      </c>
      <c r="B121" s="123" t="s">
        <v>18</v>
      </c>
      <c r="F121" s="188"/>
      <c r="G121" s="188"/>
      <c r="J121" s="188"/>
      <c r="N121" s="188"/>
      <c r="P121" s="201"/>
      <c r="Q121" s="188"/>
      <c r="R121" s="201"/>
      <c r="S121" s="201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>
        <v>60</v>
      </c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Z121" s="170">
        <f t="shared" si="1"/>
        <v>60</v>
      </c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</row>
    <row r="122" spans="1:151" ht="12.75">
      <c r="A122" s="149" t="s">
        <v>668</v>
      </c>
      <c r="B122" s="123" t="s">
        <v>18</v>
      </c>
      <c r="F122" s="188"/>
      <c r="G122" s="188"/>
      <c r="J122" s="188"/>
      <c r="N122" s="188"/>
      <c r="P122" s="201"/>
      <c r="Q122" s="188"/>
      <c r="R122" s="201"/>
      <c r="S122" s="201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>
        <v>110</v>
      </c>
      <c r="BC122" s="198"/>
      <c r="BD122" s="198"/>
      <c r="BE122" s="198">
        <v>110</v>
      </c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V122" s="198"/>
      <c r="BW122" s="198"/>
      <c r="BX122" s="198"/>
      <c r="BY122" s="198">
        <v>320</v>
      </c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Z122" s="170">
        <f t="shared" si="1"/>
        <v>540</v>
      </c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205"/>
    </row>
    <row r="123" spans="1:151" ht="12.75">
      <c r="A123" s="149" t="s">
        <v>478</v>
      </c>
      <c r="B123" s="123" t="s">
        <v>18</v>
      </c>
      <c r="F123" s="188"/>
      <c r="G123" s="188"/>
      <c r="J123" s="188"/>
      <c r="N123" s="188"/>
      <c r="P123" s="201"/>
      <c r="Q123" s="188"/>
      <c r="R123" s="201"/>
      <c r="S123" s="201"/>
      <c r="T123" s="198"/>
      <c r="U123" s="198"/>
      <c r="V123" s="198"/>
      <c r="W123" s="198"/>
      <c r="X123" s="198"/>
      <c r="Y123" s="198"/>
      <c r="Z123" s="198">
        <v>170</v>
      </c>
      <c r="AA123" s="198">
        <v>95</v>
      </c>
      <c r="AB123" s="198"/>
      <c r="AC123" s="198"/>
      <c r="AD123" s="198"/>
      <c r="AE123" s="198"/>
      <c r="AF123" s="198"/>
      <c r="AG123" s="198"/>
      <c r="AH123" s="198"/>
      <c r="AI123" s="198">
        <v>250</v>
      </c>
      <c r="AJ123" s="198"/>
      <c r="AK123" s="198"/>
      <c r="AL123" s="198"/>
      <c r="AM123" s="198">
        <f>250+375</f>
        <v>625</v>
      </c>
      <c r="AN123" s="198"/>
      <c r="AO123" s="198"/>
      <c r="AP123" s="198"/>
      <c r="AQ123" s="198">
        <v>270</v>
      </c>
      <c r="AR123" s="198"/>
      <c r="AS123" s="198"/>
      <c r="AT123" s="198"/>
      <c r="AU123" s="198">
        <v>160</v>
      </c>
      <c r="AV123" s="198"/>
      <c r="AW123" s="198">
        <v>110</v>
      </c>
      <c r="AX123" s="198">
        <v>130</v>
      </c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>
        <v>100</v>
      </c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V123" s="198"/>
      <c r="BW123" s="198"/>
      <c r="BX123" s="198"/>
      <c r="BY123" s="198"/>
      <c r="BZ123" s="198"/>
      <c r="CA123" s="198"/>
      <c r="CB123" s="198"/>
      <c r="CC123" s="198"/>
      <c r="CD123" s="198">
        <v>135</v>
      </c>
      <c r="CE123" s="198">
        <v>135</v>
      </c>
      <c r="CF123" s="198"/>
      <c r="CG123" s="198"/>
      <c r="CH123" s="198">
        <v>210</v>
      </c>
      <c r="CI123" s="198"/>
      <c r="CJ123" s="198"/>
      <c r="CK123" s="198"/>
      <c r="CL123" s="198"/>
      <c r="CM123" s="198"/>
      <c r="CN123" s="198"/>
      <c r="CO123" s="198"/>
      <c r="CP123" s="198">
        <v>470</v>
      </c>
      <c r="CQ123" s="198"/>
      <c r="CR123" s="198"/>
      <c r="CS123" s="198"/>
      <c r="CT123" s="198"/>
      <c r="CU123" s="198"/>
      <c r="CV123" s="198"/>
      <c r="CW123" s="198"/>
      <c r="CX123" s="198"/>
      <c r="CZ123" s="170">
        <f t="shared" si="1"/>
        <v>2860</v>
      </c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205"/>
    </row>
    <row r="124" spans="1:151" ht="12.75">
      <c r="A124" s="149" t="s">
        <v>548</v>
      </c>
      <c r="B124" s="123" t="s">
        <v>21</v>
      </c>
      <c r="F124" s="188"/>
      <c r="G124" s="188"/>
      <c r="J124" s="188"/>
      <c r="N124" s="188"/>
      <c r="P124" s="201"/>
      <c r="Q124" s="188"/>
      <c r="R124" s="201"/>
      <c r="S124" s="201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>
        <f>60+30</f>
        <v>90</v>
      </c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Z124" s="170">
        <f t="shared" si="1"/>
        <v>90</v>
      </c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205"/>
    </row>
    <row r="125" spans="1:151" ht="12.75">
      <c r="A125" s="149" t="s">
        <v>547</v>
      </c>
      <c r="B125" s="123" t="s">
        <v>21</v>
      </c>
      <c r="F125" s="188"/>
      <c r="G125" s="188"/>
      <c r="J125" s="188"/>
      <c r="N125" s="188"/>
      <c r="P125" s="201"/>
      <c r="Q125" s="188"/>
      <c r="R125" s="201"/>
      <c r="S125" s="201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>
        <f>60+30</f>
        <v>90</v>
      </c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>
        <v>100</v>
      </c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Z125" s="170">
        <f t="shared" si="1"/>
        <v>190</v>
      </c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205"/>
    </row>
    <row r="126" spans="1:151" ht="12.75">
      <c r="A126" s="149" t="s">
        <v>546</v>
      </c>
      <c r="B126" s="123" t="s">
        <v>21</v>
      </c>
      <c r="F126" s="188"/>
      <c r="G126" s="188"/>
      <c r="J126" s="188"/>
      <c r="N126" s="188"/>
      <c r="P126" s="201"/>
      <c r="Q126" s="188"/>
      <c r="R126" s="201"/>
      <c r="S126" s="201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>
        <v>110</v>
      </c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>
        <v>200</v>
      </c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Z126" s="170">
        <f t="shared" si="1"/>
        <v>310</v>
      </c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205"/>
    </row>
    <row r="127" spans="1:151" ht="12.75">
      <c r="A127" s="149" t="s">
        <v>545</v>
      </c>
      <c r="B127" s="123" t="s">
        <v>21</v>
      </c>
      <c r="F127" s="188"/>
      <c r="G127" s="188"/>
      <c r="J127" s="188"/>
      <c r="N127" s="188"/>
      <c r="P127" s="201"/>
      <c r="Q127" s="188"/>
      <c r="R127" s="201"/>
      <c r="S127" s="201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>
        <v>110</v>
      </c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>
        <v>200</v>
      </c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Z127" s="170">
        <f t="shared" si="1"/>
        <v>310</v>
      </c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205"/>
    </row>
    <row r="128" spans="1:104" ht="12.75">
      <c r="A128" s="149" t="s">
        <v>264</v>
      </c>
      <c r="B128" s="123" t="s">
        <v>19</v>
      </c>
      <c r="F128" s="188"/>
      <c r="G128" s="188"/>
      <c r="J128" s="188"/>
      <c r="N128" s="188"/>
      <c r="P128" s="201"/>
      <c r="Q128" s="188"/>
      <c r="R128" s="201"/>
      <c r="S128" s="201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>
        <v>90</v>
      </c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Z128" s="170">
        <f t="shared" si="1"/>
        <v>90</v>
      </c>
    </row>
    <row r="129" spans="1:151" ht="12.75">
      <c r="A129" s="149" t="s">
        <v>218</v>
      </c>
      <c r="B129" s="123" t="s">
        <v>19</v>
      </c>
      <c r="F129" s="188"/>
      <c r="G129" s="188"/>
      <c r="J129" s="188"/>
      <c r="N129" s="188"/>
      <c r="P129" s="201"/>
      <c r="Q129" s="188"/>
      <c r="R129" s="201"/>
      <c r="S129" s="201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>
        <v>90</v>
      </c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Z129" s="170">
        <f t="shared" si="1"/>
        <v>90</v>
      </c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205"/>
    </row>
    <row r="130" spans="1:104" ht="12.75">
      <c r="A130" s="149" t="s">
        <v>229</v>
      </c>
      <c r="B130" s="123" t="s">
        <v>19</v>
      </c>
      <c r="F130" s="188"/>
      <c r="G130" s="188"/>
      <c r="J130" s="188"/>
      <c r="N130" s="188"/>
      <c r="P130" s="201"/>
      <c r="Q130" s="188"/>
      <c r="R130" s="201"/>
      <c r="S130" s="201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>
        <v>170</v>
      </c>
      <c r="AR130" s="198"/>
      <c r="AS130" s="198"/>
      <c r="AT130" s="198"/>
      <c r="AU130" s="198"/>
      <c r="AV130" s="198"/>
      <c r="AW130" s="198">
        <v>110</v>
      </c>
      <c r="AX130" s="198"/>
      <c r="AY130" s="198">
        <v>110</v>
      </c>
      <c r="AZ130" s="198"/>
      <c r="BA130" s="198"/>
      <c r="BB130" s="198"/>
      <c r="BC130" s="198"/>
      <c r="BD130" s="198"/>
      <c r="BE130" s="198"/>
      <c r="BF130" s="198"/>
      <c r="BG130" s="198">
        <v>200</v>
      </c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V130" s="198"/>
      <c r="BW130" s="198"/>
      <c r="BX130" s="198"/>
      <c r="BY130" s="198"/>
      <c r="BZ130" s="198"/>
      <c r="CA130" s="198"/>
      <c r="CB130" s="198"/>
      <c r="CC130" s="198"/>
      <c r="CD130" s="198">
        <v>135</v>
      </c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Z130" s="170">
        <f t="shared" si="1"/>
        <v>725</v>
      </c>
    </row>
    <row r="131" spans="1:104" ht="12.75">
      <c r="A131" s="149" t="s">
        <v>203</v>
      </c>
      <c r="B131" s="123" t="s">
        <v>19</v>
      </c>
      <c r="F131" s="188"/>
      <c r="G131" s="188"/>
      <c r="J131" s="188"/>
      <c r="N131" s="188"/>
      <c r="P131" s="201"/>
      <c r="Q131" s="188"/>
      <c r="R131" s="201"/>
      <c r="S131" s="201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Z131" s="170">
        <f t="shared" si="1"/>
        <v>0</v>
      </c>
    </row>
    <row r="132" spans="1:104" ht="12.75">
      <c r="A132" s="149" t="s">
        <v>96</v>
      </c>
      <c r="B132" s="123" t="s">
        <v>19</v>
      </c>
      <c r="F132" s="188"/>
      <c r="G132" s="188"/>
      <c r="J132" s="188"/>
      <c r="N132" s="188"/>
      <c r="P132" s="201"/>
      <c r="Q132" s="188"/>
      <c r="R132" s="201"/>
      <c r="S132" s="201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>
        <v>170</v>
      </c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Z132" s="170">
        <f t="shared" si="1"/>
        <v>170</v>
      </c>
    </row>
    <row r="133" spans="1:104" ht="12.75">
      <c r="A133" s="149" t="s">
        <v>175</v>
      </c>
      <c r="B133" s="123" t="s">
        <v>18</v>
      </c>
      <c r="F133" s="188"/>
      <c r="G133" s="188"/>
      <c r="J133" s="188"/>
      <c r="N133" s="188"/>
      <c r="P133" s="201"/>
      <c r="Q133" s="188"/>
      <c r="R133" s="201"/>
      <c r="S133" s="201"/>
      <c r="T133" s="198"/>
      <c r="U133" s="198"/>
      <c r="V133" s="198"/>
      <c r="W133" s="198"/>
      <c r="X133" s="198"/>
      <c r="Y133" s="198">
        <v>80</v>
      </c>
      <c r="Z133" s="198">
        <v>80</v>
      </c>
      <c r="AA133" s="198"/>
      <c r="AB133" s="198"/>
      <c r="AC133" s="198"/>
      <c r="AD133" s="198"/>
      <c r="AE133" s="198"/>
      <c r="AF133" s="198"/>
      <c r="AG133" s="198">
        <v>60</v>
      </c>
      <c r="AH133" s="198">
        <v>70</v>
      </c>
      <c r="AI133" s="198"/>
      <c r="AJ133" s="198"/>
      <c r="AK133" s="198">
        <v>60</v>
      </c>
      <c r="AL133" s="198"/>
      <c r="AM133" s="198"/>
      <c r="AN133" s="198"/>
      <c r="AO133" s="198">
        <v>90</v>
      </c>
      <c r="AP133" s="198"/>
      <c r="AQ133" s="198">
        <v>90</v>
      </c>
      <c r="AR133" s="198"/>
      <c r="AS133" s="198"/>
      <c r="AT133" s="198"/>
      <c r="AU133" s="198">
        <v>80</v>
      </c>
      <c r="AV133" s="198"/>
      <c r="AW133" s="198"/>
      <c r="AX133" s="198">
        <v>70</v>
      </c>
      <c r="AY133" s="198"/>
      <c r="AZ133" s="198">
        <v>70</v>
      </c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V133" s="198"/>
      <c r="BW133" s="198"/>
      <c r="BX133" s="198"/>
      <c r="BY133" s="198">
        <v>80</v>
      </c>
      <c r="BZ133" s="198"/>
      <c r="CA133" s="198"/>
      <c r="CB133" s="198">
        <v>60</v>
      </c>
      <c r="CC133" s="198"/>
      <c r="CD133" s="198">
        <v>85</v>
      </c>
      <c r="CE133" s="198"/>
      <c r="CF133" s="198"/>
      <c r="CG133" s="198"/>
      <c r="CH133" s="198"/>
      <c r="CI133" s="198"/>
      <c r="CJ133" s="198"/>
      <c r="CK133" s="198"/>
      <c r="CL133" s="198">
        <v>70</v>
      </c>
      <c r="CM133" s="198"/>
      <c r="CN133" s="198"/>
      <c r="CO133" s="198"/>
      <c r="CP133" s="198">
        <v>200</v>
      </c>
      <c r="CQ133" s="198"/>
      <c r="CR133" s="198"/>
      <c r="CS133" s="198"/>
      <c r="CT133" s="198"/>
      <c r="CU133" s="198"/>
      <c r="CV133" s="198"/>
      <c r="CW133" s="198"/>
      <c r="CX133" s="198"/>
      <c r="CZ133" s="170">
        <f t="shared" si="1"/>
        <v>1245</v>
      </c>
    </row>
    <row r="134" spans="1:151" ht="12.75">
      <c r="A134" s="149" t="s">
        <v>209</v>
      </c>
      <c r="B134" s="123" t="s">
        <v>18</v>
      </c>
      <c r="F134" s="188"/>
      <c r="G134" s="188"/>
      <c r="J134" s="188"/>
      <c r="N134" s="188"/>
      <c r="P134" s="201"/>
      <c r="Q134" s="188"/>
      <c r="R134" s="201"/>
      <c r="S134" s="201"/>
      <c r="T134" s="198"/>
      <c r="U134" s="198"/>
      <c r="V134" s="198"/>
      <c r="W134" s="198"/>
      <c r="X134" s="198"/>
      <c r="Y134" s="198">
        <v>170</v>
      </c>
      <c r="Z134" s="198">
        <v>170</v>
      </c>
      <c r="AA134" s="198"/>
      <c r="AB134" s="198"/>
      <c r="AC134" s="198"/>
      <c r="AD134" s="198"/>
      <c r="AE134" s="198"/>
      <c r="AF134" s="198"/>
      <c r="AG134" s="198">
        <v>120</v>
      </c>
      <c r="AH134" s="198">
        <v>120</v>
      </c>
      <c r="AI134" s="198"/>
      <c r="AJ134" s="198"/>
      <c r="AK134" s="198">
        <v>120</v>
      </c>
      <c r="AL134" s="198"/>
      <c r="AM134" s="198"/>
      <c r="AN134" s="198"/>
      <c r="AO134" s="198">
        <v>170</v>
      </c>
      <c r="AP134" s="198"/>
      <c r="AQ134" s="198">
        <v>170</v>
      </c>
      <c r="AR134" s="198"/>
      <c r="AS134" s="198"/>
      <c r="AT134" s="198"/>
      <c r="AU134" s="198">
        <v>160</v>
      </c>
      <c r="AV134" s="198"/>
      <c r="AW134" s="198"/>
      <c r="AX134" s="198">
        <v>130</v>
      </c>
      <c r="AY134" s="198"/>
      <c r="AZ134" s="198">
        <v>130</v>
      </c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V134" s="198"/>
      <c r="BW134" s="198"/>
      <c r="BX134" s="198"/>
      <c r="BY134" s="198">
        <v>160</v>
      </c>
      <c r="BZ134" s="198"/>
      <c r="CA134" s="198"/>
      <c r="CB134" s="198"/>
      <c r="CC134" s="198"/>
      <c r="CD134" s="198"/>
      <c r="CE134" s="198">
        <v>135</v>
      </c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Z134" s="170">
        <f t="shared" si="1"/>
        <v>1755</v>
      </c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205"/>
    </row>
    <row r="135" spans="1:104" ht="12.75">
      <c r="A135" s="149" t="s">
        <v>287</v>
      </c>
      <c r="B135" s="123" t="s">
        <v>19</v>
      </c>
      <c r="F135" s="188"/>
      <c r="G135" s="188"/>
      <c r="J135" s="188"/>
      <c r="N135" s="188"/>
      <c r="P135" s="201"/>
      <c r="Q135" s="188"/>
      <c r="R135" s="201"/>
      <c r="S135" s="201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Z135" s="170">
        <f t="shared" si="1"/>
        <v>0</v>
      </c>
    </row>
    <row r="136" spans="1:104" ht="12.75">
      <c r="A136" s="149" t="s">
        <v>167</v>
      </c>
      <c r="B136" s="123" t="s">
        <v>18</v>
      </c>
      <c r="F136" s="188">
        <v>60</v>
      </c>
      <c r="G136" s="188"/>
      <c r="J136" s="188"/>
      <c r="N136" s="188"/>
      <c r="P136" s="201"/>
      <c r="Q136" s="188"/>
      <c r="R136" s="201"/>
      <c r="S136" s="201"/>
      <c r="T136" s="198">
        <v>60</v>
      </c>
      <c r="U136" s="198"/>
      <c r="V136" s="198"/>
      <c r="W136" s="198"/>
      <c r="X136" s="198">
        <v>90</v>
      </c>
      <c r="Y136" s="198">
        <v>80</v>
      </c>
      <c r="Z136" s="198">
        <v>80</v>
      </c>
      <c r="AA136" s="198">
        <v>180</v>
      </c>
      <c r="AB136" s="198"/>
      <c r="AC136" s="198"/>
      <c r="AD136" s="198"/>
      <c r="AE136" s="198"/>
      <c r="AF136" s="198"/>
      <c r="AG136" s="198">
        <v>60</v>
      </c>
      <c r="AH136" s="198">
        <v>70</v>
      </c>
      <c r="AI136" s="198"/>
      <c r="AJ136" s="198"/>
      <c r="AK136" s="198">
        <v>60</v>
      </c>
      <c r="AL136" s="198"/>
      <c r="AM136" s="198"/>
      <c r="AN136" s="198"/>
      <c r="AO136" s="198">
        <v>90</v>
      </c>
      <c r="AP136" s="198"/>
      <c r="AQ136" s="198">
        <v>90</v>
      </c>
      <c r="AR136" s="198"/>
      <c r="AS136" s="198"/>
      <c r="AT136" s="198"/>
      <c r="AU136" s="198">
        <v>80</v>
      </c>
      <c r="AV136" s="198"/>
      <c r="AW136" s="198"/>
      <c r="AX136" s="198">
        <v>70</v>
      </c>
      <c r="AY136" s="198"/>
      <c r="AZ136" s="198">
        <v>70</v>
      </c>
      <c r="BA136" s="198"/>
      <c r="BB136" s="198"/>
      <c r="BC136" s="198"/>
      <c r="BD136" s="198">
        <v>120</v>
      </c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V136" s="198"/>
      <c r="BW136" s="198"/>
      <c r="BX136" s="198"/>
      <c r="BY136" s="198">
        <v>80</v>
      </c>
      <c r="BZ136" s="198"/>
      <c r="CA136" s="198"/>
      <c r="CB136" s="198">
        <v>60</v>
      </c>
      <c r="CC136" s="198"/>
      <c r="CD136" s="198">
        <v>85</v>
      </c>
      <c r="CE136" s="198">
        <v>75</v>
      </c>
      <c r="CF136" s="198">
        <v>100</v>
      </c>
      <c r="CG136" s="198"/>
      <c r="CH136" s="198"/>
      <c r="CI136" s="198"/>
      <c r="CJ136" s="198">
        <v>60</v>
      </c>
      <c r="CK136" s="198">
        <v>60</v>
      </c>
      <c r="CL136" s="198">
        <v>70</v>
      </c>
      <c r="CM136" s="198"/>
      <c r="CN136" s="198"/>
      <c r="CO136" s="198"/>
      <c r="CP136" s="198">
        <v>200</v>
      </c>
      <c r="CQ136" s="198"/>
      <c r="CR136" s="198"/>
      <c r="CS136" s="198"/>
      <c r="CT136" s="198"/>
      <c r="CU136" s="198"/>
      <c r="CV136" s="198"/>
      <c r="CW136" s="198"/>
      <c r="CX136" s="198"/>
      <c r="CZ136" s="170">
        <f t="shared" si="1"/>
        <v>2050</v>
      </c>
    </row>
    <row r="137" spans="1:104" ht="12.75">
      <c r="A137" s="149" t="s">
        <v>97</v>
      </c>
      <c r="B137" s="123" t="s">
        <v>19</v>
      </c>
      <c r="F137" s="188"/>
      <c r="G137" s="188"/>
      <c r="J137" s="188"/>
      <c r="N137" s="188"/>
      <c r="P137" s="201"/>
      <c r="Q137" s="188"/>
      <c r="R137" s="201"/>
      <c r="S137" s="201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V137" s="198"/>
      <c r="BW137" s="198"/>
      <c r="BX137" s="198"/>
      <c r="BY137" s="198"/>
      <c r="BZ137" s="198"/>
      <c r="CA137" s="198"/>
      <c r="CB137" s="198"/>
      <c r="CC137" s="198"/>
      <c r="CD137" s="198">
        <v>215</v>
      </c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Z137" s="170">
        <f t="shared" si="1"/>
        <v>215</v>
      </c>
    </row>
    <row r="138" spans="1:150" ht="12.75">
      <c r="A138" s="149" t="s">
        <v>78</v>
      </c>
      <c r="B138" s="123" t="s">
        <v>18</v>
      </c>
      <c r="F138" s="188"/>
      <c r="G138" s="188"/>
      <c r="J138" s="188"/>
      <c r="N138" s="188"/>
      <c r="P138" s="201"/>
      <c r="Q138" s="188"/>
      <c r="R138" s="201"/>
      <c r="S138" s="201"/>
      <c r="T138" s="198"/>
      <c r="U138" s="198"/>
      <c r="V138" s="198"/>
      <c r="W138" s="198"/>
      <c r="X138" s="198"/>
      <c r="Y138" s="198">
        <v>170</v>
      </c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>
        <v>195</v>
      </c>
      <c r="BA138" s="198"/>
      <c r="BB138" s="198"/>
      <c r="BC138" s="198"/>
      <c r="BD138" s="198"/>
      <c r="BE138" s="198"/>
      <c r="BF138" s="198"/>
      <c r="BG138" s="198">
        <v>300</v>
      </c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V138" s="198"/>
      <c r="BW138" s="198"/>
      <c r="BX138" s="198"/>
      <c r="BY138" s="198"/>
      <c r="BZ138" s="198">
        <v>180</v>
      </c>
      <c r="CA138" s="198"/>
      <c r="CB138" s="198"/>
      <c r="CC138" s="198"/>
      <c r="CD138" s="198"/>
      <c r="CE138" s="198">
        <v>135</v>
      </c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>
        <v>300</v>
      </c>
      <c r="CQ138" s="198"/>
      <c r="CR138" s="198"/>
      <c r="CS138" s="198"/>
      <c r="CT138" s="198"/>
      <c r="CU138" s="198"/>
      <c r="CV138" s="198"/>
      <c r="CW138" s="198"/>
      <c r="CX138" s="198"/>
      <c r="CZ138" s="170">
        <f t="shared" si="1"/>
        <v>1280</v>
      </c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</row>
    <row r="139" spans="1:151" ht="12.75">
      <c r="A139" s="149" t="s">
        <v>228</v>
      </c>
      <c r="B139" s="123" t="s">
        <v>17</v>
      </c>
      <c r="F139" s="188"/>
      <c r="G139" s="188"/>
      <c r="J139" s="188"/>
      <c r="N139" s="188"/>
      <c r="P139" s="201"/>
      <c r="Q139" s="188"/>
      <c r="R139" s="201"/>
      <c r="S139" s="201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Z139" s="170">
        <f t="shared" si="1"/>
        <v>0</v>
      </c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205"/>
    </row>
    <row r="140" spans="1:104" ht="12.75">
      <c r="A140" s="149" t="s">
        <v>163</v>
      </c>
      <c r="B140" s="123" t="s">
        <v>152</v>
      </c>
      <c r="F140" s="188"/>
      <c r="G140" s="188"/>
      <c r="J140" s="188"/>
      <c r="N140" s="188"/>
      <c r="P140" s="201"/>
      <c r="Q140" s="188"/>
      <c r="R140" s="201"/>
      <c r="S140" s="201"/>
      <c r="T140" s="198"/>
      <c r="U140" s="198"/>
      <c r="V140" s="198"/>
      <c r="W140" s="198"/>
      <c r="X140" s="198"/>
      <c r="Y140" s="198">
        <v>170</v>
      </c>
      <c r="Z140" s="198"/>
      <c r="AA140" s="198"/>
      <c r="AB140" s="198"/>
      <c r="AC140" s="198"/>
      <c r="AD140" s="198">
        <v>130</v>
      </c>
      <c r="AE140" s="198"/>
      <c r="AF140" s="198"/>
      <c r="AG140" s="198">
        <v>120</v>
      </c>
      <c r="AH140" s="198">
        <v>120</v>
      </c>
      <c r="AI140" s="198"/>
      <c r="AJ140" s="198"/>
      <c r="AK140" s="198"/>
      <c r="AL140" s="198"/>
      <c r="AM140" s="198"/>
      <c r="AN140" s="198"/>
      <c r="AO140" s="198"/>
      <c r="AP140" s="198"/>
      <c r="AQ140" s="198">
        <v>170</v>
      </c>
      <c r="AR140" s="198"/>
      <c r="AS140" s="198"/>
      <c r="AT140" s="198"/>
      <c r="AU140" s="198">
        <v>160</v>
      </c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>
        <v>200</v>
      </c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V140" s="198"/>
      <c r="BW140" s="198"/>
      <c r="BX140" s="198"/>
      <c r="BY140" s="198">
        <v>160</v>
      </c>
      <c r="BZ140" s="198">
        <v>180</v>
      </c>
      <c r="CA140" s="198">
        <v>180</v>
      </c>
      <c r="CB140" s="198"/>
      <c r="CC140" s="198"/>
      <c r="CD140" s="198">
        <v>135</v>
      </c>
      <c r="CE140" s="198">
        <v>135</v>
      </c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>
        <v>130</v>
      </c>
      <c r="CT140" s="198"/>
      <c r="CU140" s="198"/>
      <c r="CV140" s="198"/>
      <c r="CW140" s="198"/>
      <c r="CX140" s="198"/>
      <c r="CZ140" s="170">
        <f t="shared" si="1"/>
        <v>1990</v>
      </c>
    </row>
    <row r="141" spans="1:104" ht="12.75">
      <c r="A141" s="149" t="s">
        <v>885</v>
      </c>
      <c r="B141" s="123" t="s">
        <v>19</v>
      </c>
      <c r="F141" s="188"/>
      <c r="G141" s="188"/>
      <c r="J141" s="188"/>
      <c r="N141" s="188"/>
      <c r="P141" s="201"/>
      <c r="Q141" s="188"/>
      <c r="R141" s="201"/>
      <c r="S141" s="201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V141" s="198"/>
      <c r="BW141" s="198"/>
      <c r="BX141" s="198"/>
      <c r="BY141" s="198"/>
      <c r="BZ141" s="198"/>
      <c r="CA141" s="198"/>
      <c r="CB141" s="198"/>
      <c r="CC141" s="198"/>
      <c r="CD141" s="198">
        <v>85</v>
      </c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Z141" s="170">
        <f t="shared" si="1"/>
        <v>85</v>
      </c>
    </row>
    <row r="142" spans="1:104" ht="12.75">
      <c r="A142" s="149" t="s">
        <v>738</v>
      </c>
      <c r="B142" s="123" t="s">
        <v>21</v>
      </c>
      <c r="F142" s="188"/>
      <c r="G142" s="188"/>
      <c r="J142" s="188"/>
      <c r="N142" s="188"/>
      <c r="P142" s="201"/>
      <c r="Q142" s="188"/>
      <c r="R142" s="201"/>
      <c r="S142" s="201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>
        <v>100</v>
      </c>
      <c r="BQ142" s="198">
        <v>500</v>
      </c>
      <c r="BR142" s="198"/>
      <c r="BS142" s="198"/>
      <c r="BT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Z142" s="170">
        <f aca="true" t="shared" si="2" ref="CZ142:CZ214">SUM(C142:CY142)</f>
        <v>600</v>
      </c>
    </row>
    <row r="143" spans="1:104" ht="12.75">
      <c r="A143" s="149" t="s">
        <v>626</v>
      </c>
      <c r="B143" s="123" t="s">
        <v>21</v>
      </c>
      <c r="F143" s="188"/>
      <c r="G143" s="188"/>
      <c r="J143" s="188"/>
      <c r="N143" s="188"/>
      <c r="P143" s="201"/>
      <c r="Q143" s="188"/>
      <c r="R143" s="201"/>
      <c r="S143" s="201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>
        <v>165</v>
      </c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Z143" s="170">
        <f t="shared" si="2"/>
        <v>165</v>
      </c>
    </row>
    <row r="144" spans="1:151" ht="12.75">
      <c r="A144" s="149" t="s">
        <v>549</v>
      </c>
      <c r="B144" s="123" t="s">
        <v>20</v>
      </c>
      <c r="F144" s="188"/>
      <c r="G144" s="188"/>
      <c r="J144" s="188"/>
      <c r="N144" s="188"/>
      <c r="P144" s="201"/>
      <c r="Q144" s="188"/>
      <c r="R144" s="201"/>
      <c r="S144" s="201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>
        <v>165</v>
      </c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>
        <f>(25+90)*84.9885/100</f>
        <v>97.736775</v>
      </c>
      <c r="BM144" s="198"/>
      <c r="BN144" s="198"/>
      <c r="BO144" s="198"/>
      <c r="BP144" s="198"/>
      <c r="BQ144" s="198"/>
      <c r="BR144" s="198"/>
      <c r="BS144" s="198"/>
      <c r="BT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Z144" s="170">
        <f t="shared" si="2"/>
        <v>262.73677499999997</v>
      </c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205"/>
    </row>
    <row r="145" spans="1:104" ht="12.75">
      <c r="A145" s="149" t="s">
        <v>726</v>
      </c>
      <c r="B145" s="123" t="s">
        <v>20</v>
      </c>
      <c r="F145" s="188"/>
      <c r="G145" s="188"/>
      <c r="J145" s="188"/>
      <c r="N145" s="188"/>
      <c r="P145" s="201"/>
      <c r="Q145" s="188"/>
      <c r="R145" s="201"/>
      <c r="S145" s="201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>
        <v>120</v>
      </c>
      <c r="BS145" s="198"/>
      <c r="BT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Z145" s="170">
        <f t="shared" si="2"/>
        <v>120</v>
      </c>
    </row>
    <row r="146" spans="1:151" ht="12.75">
      <c r="A146" s="149" t="s">
        <v>272</v>
      </c>
      <c r="B146" s="123" t="s">
        <v>20</v>
      </c>
      <c r="F146" s="188"/>
      <c r="G146" s="188"/>
      <c r="J146" s="188"/>
      <c r="N146" s="188"/>
      <c r="P146" s="201"/>
      <c r="Q146" s="188"/>
      <c r="R146" s="201"/>
      <c r="S146" s="201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>
        <v>90</v>
      </c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>
        <f>50*84.9885/100</f>
        <v>42.49425</v>
      </c>
      <c r="BM146" s="198"/>
      <c r="BN146" s="198"/>
      <c r="BO146" s="198"/>
      <c r="BP146" s="198"/>
      <c r="BQ146" s="198"/>
      <c r="BR146" s="198">
        <v>70</v>
      </c>
      <c r="BS146" s="198"/>
      <c r="BT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>
        <v>75</v>
      </c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8"/>
      <c r="CZ146" s="170">
        <f t="shared" si="2"/>
        <v>277.49424999999997</v>
      </c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205"/>
    </row>
    <row r="147" spans="1:104" ht="12.75">
      <c r="A147" s="149" t="s">
        <v>930</v>
      </c>
      <c r="B147" s="123" t="s">
        <v>19</v>
      </c>
      <c r="F147" s="188"/>
      <c r="G147" s="188"/>
      <c r="J147" s="188"/>
      <c r="N147" s="188"/>
      <c r="P147" s="201"/>
      <c r="Q147" s="188"/>
      <c r="R147" s="201"/>
      <c r="S147" s="201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>
        <v>65</v>
      </c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Z147" s="170">
        <f t="shared" si="2"/>
        <v>65</v>
      </c>
    </row>
    <row r="148" spans="1:104" ht="12.75">
      <c r="A148" s="149" t="s">
        <v>221</v>
      </c>
      <c r="B148" s="123" t="s">
        <v>18</v>
      </c>
      <c r="F148" s="188"/>
      <c r="G148" s="188"/>
      <c r="J148" s="188"/>
      <c r="N148" s="188"/>
      <c r="P148" s="201"/>
      <c r="Q148" s="188"/>
      <c r="R148" s="201"/>
      <c r="S148" s="201"/>
      <c r="T148" s="198"/>
      <c r="U148" s="198"/>
      <c r="V148" s="198"/>
      <c r="W148" s="198">
        <v>90</v>
      </c>
      <c r="X148" s="198">
        <v>90</v>
      </c>
      <c r="Y148" s="198">
        <v>80</v>
      </c>
      <c r="Z148" s="198"/>
      <c r="AA148" s="198">
        <v>45</v>
      </c>
      <c r="AB148" s="198"/>
      <c r="AC148" s="198"/>
      <c r="AD148" s="198"/>
      <c r="AE148" s="198"/>
      <c r="AF148" s="198"/>
      <c r="AG148" s="198"/>
      <c r="AH148" s="198">
        <v>70</v>
      </c>
      <c r="AI148" s="198"/>
      <c r="AJ148" s="198"/>
      <c r="AK148" s="198"/>
      <c r="AL148" s="198"/>
      <c r="AM148" s="198"/>
      <c r="AN148" s="198">
        <v>80</v>
      </c>
      <c r="AO148" s="198"/>
      <c r="AP148" s="198">
        <v>80</v>
      </c>
      <c r="AQ148" s="198"/>
      <c r="AR148" s="198"/>
      <c r="AS148" s="198"/>
      <c r="AT148" s="198"/>
      <c r="AU148" s="198"/>
      <c r="AV148" s="198"/>
      <c r="AW148" s="198"/>
      <c r="AX148" s="198">
        <v>70</v>
      </c>
      <c r="AY148" s="198"/>
      <c r="AZ148" s="198"/>
      <c r="BA148" s="198"/>
      <c r="BB148" s="198"/>
      <c r="BC148" s="198"/>
      <c r="BD148" s="198"/>
      <c r="BE148" s="198"/>
      <c r="BF148" s="198">
        <v>100</v>
      </c>
      <c r="BG148" s="198">
        <v>100</v>
      </c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>
        <f>80*4</f>
        <v>320</v>
      </c>
      <c r="BV148" s="198"/>
      <c r="BW148" s="198"/>
      <c r="BX148" s="198"/>
      <c r="BY148" s="198"/>
      <c r="BZ148" s="198"/>
      <c r="CA148" s="198"/>
      <c r="CB148" s="198"/>
      <c r="CC148" s="198"/>
      <c r="CD148" s="198">
        <v>85</v>
      </c>
      <c r="CE148" s="198"/>
      <c r="CF148" s="198"/>
      <c r="CG148" s="198"/>
      <c r="CH148" s="198"/>
      <c r="CI148" s="198">
        <v>65</v>
      </c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Z148" s="170">
        <f t="shared" si="2"/>
        <v>1275</v>
      </c>
    </row>
    <row r="149" spans="1:104" ht="12.75">
      <c r="A149" s="149" t="s">
        <v>166</v>
      </c>
      <c r="B149" s="123" t="s">
        <v>18</v>
      </c>
      <c r="F149" s="188"/>
      <c r="G149" s="188"/>
      <c r="J149" s="188"/>
      <c r="N149" s="188"/>
      <c r="P149" s="201"/>
      <c r="Q149" s="188"/>
      <c r="R149" s="201"/>
      <c r="S149" s="201"/>
      <c r="T149" s="198"/>
      <c r="U149" s="198"/>
      <c r="V149" s="198"/>
      <c r="W149" s="198">
        <v>180</v>
      </c>
      <c r="X149" s="198">
        <v>180</v>
      </c>
      <c r="Y149" s="198">
        <v>170</v>
      </c>
      <c r="Z149" s="198"/>
      <c r="AA149" s="198">
        <v>95</v>
      </c>
      <c r="AB149" s="198"/>
      <c r="AC149" s="198"/>
      <c r="AD149" s="198"/>
      <c r="AE149" s="198"/>
      <c r="AF149" s="198"/>
      <c r="AG149" s="198"/>
      <c r="AH149" s="198">
        <v>120</v>
      </c>
      <c r="AI149" s="198"/>
      <c r="AJ149" s="198"/>
      <c r="AK149" s="198"/>
      <c r="AL149" s="198"/>
      <c r="AM149" s="198"/>
      <c r="AN149" s="198">
        <v>170</v>
      </c>
      <c r="AO149" s="198"/>
      <c r="AP149" s="198">
        <v>170</v>
      </c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>
        <v>200</v>
      </c>
      <c r="BG149" s="198">
        <v>200</v>
      </c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>
        <f>4*130</f>
        <v>520</v>
      </c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>
        <v>300</v>
      </c>
      <c r="CQ149" s="198"/>
      <c r="CR149" s="198"/>
      <c r="CS149" s="198"/>
      <c r="CT149" s="198"/>
      <c r="CU149" s="198"/>
      <c r="CV149" s="198"/>
      <c r="CW149" s="198"/>
      <c r="CX149" s="198"/>
      <c r="CZ149" s="170">
        <f t="shared" si="2"/>
        <v>2305</v>
      </c>
    </row>
    <row r="150" spans="1:104" ht="12.75">
      <c r="A150" s="149" t="s">
        <v>222</v>
      </c>
      <c r="B150" s="123" t="s">
        <v>18</v>
      </c>
      <c r="F150" s="188"/>
      <c r="G150" s="188"/>
      <c r="J150" s="188"/>
      <c r="N150" s="188"/>
      <c r="P150" s="201"/>
      <c r="Q150" s="188"/>
      <c r="R150" s="201"/>
      <c r="S150" s="201"/>
      <c r="T150" s="198"/>
      <c r="U150" s="198"/>
      <c r="V150" s="198"/>
      <c r="W150" s="198">
        <v>90</v>
      </c>
      <c r="X150" s="198">
        <v>90</v>
      </c>
      <c r="Y150" s="198">
        <v>80</v>
      </c>
      <c r="Z150" s="198"/>
      <c r="AA150" s="198">
        <v>45</v>
      </c>
      <c r="AB150" s="198"/>
      <c r="AC150" s="198"/>
      <c r="AD150" s="198"/>
      <c r="AE150" s="198"/>
      <c r="AF150" s="198"/>
      <c r="AG150" s="198"/>
      <c r="AH150" s="198">
        <v>70</v>
      </c>
      <c r="AI150" s="198"/>
      <c r="AJ150" s="198"/>
      <c r="AK150" s="198"/>
      <c r="AL150" s="198"/>
      <c r="AM150" s="198"/>
      <c r="AN150" s="198">
        <v>80</v>
      </c>
      <c r="AO150" s="198"/>
      <c r="AP150" s="198">
        <v>80</v>
      </c>
      <c r="AQ150" s="198"/>
      <c r="AR150" s="198"/>
      <c r="AS150" s="198"/>
      <c r="AT150" s="198"/>
      <c r="AU150" s="198"/>
      <c r="AV150" s="198"/>
      <c r="AW150" s="198"/>
      <c r="AX150" s="198">
        <v>70</v>
      </c>
      <c r="AY150" s="198"/>
      <c r="AZ150" s="198"/>
      <c r="BA150" s="198"/>
      <c r="BB150" s="198"/>
      <c r="BC150" s="198"/>
      <c r="BD150" s="198"/>
      <c r="BE150" s="198"/>
      <c r="BF150" s="198">
        <v>100</v>
      </c>
      <c r="BG150" s="198">
        <v>100</v>
      </c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>
        <f>80*4</f>
        <v>320</v>
      </c>
      <c r="BV150" s="198"/>
      <c r="BW150" s="198"/>
      <c r="BX150" s="198"/>
      <c r="BY150" s="198"/>
      <c r="BZ150" s="198"/>
      <c r="CA150" s="198"/>
      <c r="CB150" s="198"/>
      <c r="CC150" s="198"/>
      <c r="CD150" s="198">
        <v>85</v>
      </c>
      <c r="CE150" s="198"/>
      <c r="CF150" s="198"/>
      <c r="CG150" s="198"/>
      <c r="CH150" s="198"/>
      <c r="CI150" s="198">
        <v>65</v>
      </c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Z150" s="170">
        <f t="shared" si="2"/>
        <v>1275</v>
      </c>
    </row>
    <row r="151" spans="1:104" ht="12.75">
      <c r="A151" s="149" t="s">
        <v>169</v>
      </c>
      <c r="B151" s="123" t="s">
        <v>18</v>
      </c>
      <c r="F151" s="188"/>
      <c r="G151" s="188"/>
      <c r="J151" s="188"/>
      <c r="N151" s="188"/>
      <c r="P151" s="201"/>
      <c r="Q151" s="188"/>
      <c r="R151" s="201"/>
      <c r="S151" s="201"/>
      <c r="T151" s="198"/>
      <c r="U151" s="198"/>
      <c r="V151" s="198"/>
      <c r="W151" s="198">
        <v>90</v>
      </c>
      <c r="X151" s="198">
        <v>90</v>
      </c>
      <c r="Y151" s="198">
        <v>80</v>
      </c>
      <c r="Z151" s="198"/>
      <c r="AA151" s="198">
        <v>180</v>
      </c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>
        <v>80</v>
      </c>
      <c r="AO151" s="198"/>
      <c r="AP151" s="198">
        <v>80</v>
      </c>
      <c r="AQ151" s="198"/>
      <c r="AR151" s="198"/>
      <c r="AS151" s="198"/>
      <c r="AT151" s="198"/>
      <c r="AU151" s="198"/>
      <c r="AV151" s="198"/>
      <c r="AW151" s="198"/>
      <c r="AX151" s="198">
        <v>70</v>
      </c>
      <c r="AY151" s="198"/>
      <c r="AZ151" s="198"/>
      <c r="BA151" s="198"/>
      <c r="BB151" s="198"/>
      <c r="BC151" s="198"/>
      <c r="BD151" s="198"/>
      <c r="BE151" s="198"/>
      <c r="BF151" s="198">
        <v>100</v>
      </c>
      <c r="BG151" s="198">
        <v>100</v>
      </c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>
        <f>80*4</f>
        <v>320</v>
      </c>
      <c r="BV151" s="198"/>
      <c r="BW151" s="198"/>
      <c r="BX151" s="198"/>
      <c r="BY151" s="198"/>
      <c r="BZ151" s="198"/>
      <c r="CA151" s="198"/>
      <c r="CB151" s="198"/>
      <c r="CC151" s="198"/>
      <c r="CD151" s="198">
        <v>85</v>
      </c>
      <c r="CE151" s="198"/>
      <c r="CF151" s="198"/>
      <c r="CG151" s="198"/>
      <c r="CH151" s="198"/>
      <c r="CI151" s="198">
        <v>65</v>
      </c>
      <c r="CJ151" s="198"/>
      <c r="CK151" s="198"/>
      <c r="CL151" s="198"/>
      <c r="CM151" s="198"/>
      <c r="CN151" s="198"/>
      <c r="CO151" s="198"/>
      <c r="CP151" s="198">
        <v>200</v>
      </c>
      <c r="CQ151" s="198"/>
      <c r="CR151" s="198"/>
      <c r="CS151" s="198"/>
      <c r="CT151" s="198"/>
      <c r="CU151" s="198"/>
      <c r="CV151" s="198"/>
      <c r="CW151" s="198"/>
      <c r="CX151" s="198"/>
      <c r="CZ151" s="170">
        <f t="shared" si="2"/>
        <v>1540</v>
      </c>
    </row>
    <row r="152" spans="1:104" ht="12.75">
      <c r="A152" s="149" t="s">
        <v>165</v>
      </c>
      <c r="B152" s="123" t="s">
        <v>18</v>
      </c>
      <c r="F152" s="188"/>
      <c r="G152" s="188"/>
      <c r="J152" s="188"/>
      <c r="N152" s="188"/>
      <c r="P152" s="201"/>
      <c r="Q152" s="188"/>
      <c r="R152" s="201"/>
      <c r="S152" s="201"/>
      <c r="T152" s="198"/>
      <c r="U152" s="198"/>
      <c r="V152" s="198"/>
      <c r="W152" s="198">
        <v>180</v>
      </c>
      <c r="X152" s="198">
        <v>180</v>
      </c>
      <c r="Y152" s="198"/>
      <c r="Z152" s="198"/>
      <c r="AA152" s="198">
        <v>260</v>
      </c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>
        <v>170</v>
      </c>
      <c r="AO152" s="198"/>
      <c r="AP152" s="198">
        <v>170</v>
      </c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>
        <v>200</v>
      </c>
      <c r="BG152" s="198">
        <v>200</v>
      </c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Z152" s="170">
        <f t="shared" si="2"/>
        <v>1360</v>
      </c>
    </row>
    <row r="153" spans="1:150" ht="12.75">
      <c r="A153" s="149" t="s">
        <v>182</v>
      </c>
      <c r="B153" s="123" t="s">
        <v>18</v>
      </c>
      <c r="F153" s="188"/>
      <c r="G153" s="188"/>
      <c r="J153" s="188"/>
      <c r="N153" s="188"/>
      <c r="P153" s="201"/>
      <c r="Q153" s="188"/>
      <c r="R153" s="201"/>
      <c r="S153" s="201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>
        <v>70</v>
      </c>
      <c r="AI153" s="198"/>
      <c r="AJ153" s="198"/>
      <c r="AK153" s="198"/>
      <c r="AL153" s="198"/>
      <c r="AM153" s="198"/>
      <c r="AN153" s="198"/>
      <c r="AO153" s="198"/>
      <c r="AP153" s="198"/>
      <c r="AQ153" s="198">
        <v>90</v>
      </c>
      <c r="AR153" s="198"/>
      <c r="AS153" s="198"/>
      <c r="AT153" s="198"/>
      <c r="AU153" s="198">
        <v>80</v>
      </c>
      <c r="AV153" s="198"/>
      <c r="AW153" s="198">
        <v>60</v>
      </c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V153" s="198"/>
      <c r="BW153" s="198"/>
      <c r="BX153" s="198"/>
      <c r="BY153" s="198"/>
      <c r="BZ153" s="198"/>
      <c r="CA153" s="198"/>
      <c r="CB153" s="198"/>
      <c r="CC153" s="198"/>
      <c r="CD153" s="198">
        <v>85</v>
      </c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Z153" s="170">
        <f t="shared" si="2"/>
        <v>385</v>
      </c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</row>
    <row r="154" spans="1:150" ht="12.75">
      <c r="A154" s="149" t="s">
        <v>173</v>
      </c>
      <c r="B154" s="123" t="s">
        <v>18</v>
      </c>
      <c r="F154" s="188"/>
      <c r="G154" s="188"/>
      <c r="J154" s="188"/>
      <c r="N154" s="188"/>
      <c r="P154" s="201"/>
      <c r="Q154" s="188"/>
      <c r="R154" s="201"/>
      <c r="S154" s="201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>
        <v>130</v>
      </c>
      <c r="AR154" s="198"/>
      <c r="AS154" s="198"/>
      <c r="AT154" s="198"/>
      <c r="AU154" s="198">
        <v>80</v>
      </c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V154" s="198"/>
      <c r="BW154" s="198"/>
      <c r="BX154" s="198"/>
      <c r="BY154" s="198"/>
      <c r="BZ154" s="198"/>
      <c r="CA154" s="198"/>
      <c r="CB154" s="198"/>
      <c r="CC154" s="198"/>
      <c r="CD154" s="198">
        <v>85</v>
      </c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Z154" s="170">
        <f t="shared" si="2"/>
        <v>295</v>
      </c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</row>
    <row r="155" spans="1:104" ht="12.75">
      <c r="A155" s="149" t="s">
        <v>234</v>
      </c>
      <c r="B155" s="123" t="s">
        <v>18</v>
      </c>
      <c r="F155" s="188"/>
      <c r="G155" s="188"/>
      <c r="J155" s="188"/>
      <c r="N155" s="188"/>
      <c r="P155" s="201"/>
      <c r="Q155" s="188"/>
      <c r="R155" s="201"/>
      <c r="S155" s="201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>
        <v>165</v>
      </c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Z155" s="170">
        <f t="shared" si="2"/>
        <v>165</v>
      </c>
    </row>
    <row r="156" spans="1:136" ht="12.75">
      <c r="A156" s="149" t="s">
        <v>273</v>
      </c>
      <c r="B156" s="123" t="s">
        <v>21</v>
      </c>
      <c r="F156" s="188"/>
      <c r="G156" s="188"/>
      <c r="J156" s="188"/>
      <c r="N156" s="188"/>
      <c r="P156" s="201"/>
      <c r="Q156" s="188"/>
      <c r="R156" s="201"/>
      <c r="S156" s="201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>
        <v>90</v>
      </c>
      <c r="AP156" s="198"/>
      <c r="AQ156" s="198"/>
      <c r="AR156" s="198"/>
      <c r="AS156" s="198">
        <v>90</v>
      </c>
      <c r="AT156" s="198"/>
      <c r="AU156" s="198"/>
      <c r="AV156" s="198"/>
      <c r="AW156" s="198">
        <v>60</v>
      </c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>
        <v>100</v>
      </c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V156" s="198"/>
      <c r="BW156" s="198"/>
      <c r="BX156" s="198"/>
      <c r="BY156" s="198"/>
      <c r="BZ156" s="198"/>
      <c r="CA156" s="198"/>
      <c r="CB156" s="198"/>
      <c r="CC156" s="198"/>
      <c r="CD156" s="198">
        <v>85</v>
      </c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 s="198">
        <v>50</v>
      </c>
      <c r="CO156" s="198"/>
      <c r="CP156" s="198"/>
      <c r="CQ156" s="198"/>
      <c r="CR156" s="198"/>
      <c r="CS156" s="198"/>
      <c r="CT156" s="198"/>
      <c r="CU156" s="198"/>
      <c r="CV156" s="198"/>
      <c r="CW156" s="198"/>
      <c r="CX156" s="198"/>
      <c r="CZ156" s="170">
        <f t="shared" si="2"/>
        <v>475</v>
      </c>
      <c r="EF156" s="123"/>
    </row>
    <row r="157" spans="1:151" ht="12.75">
      <c r="A157" s="149" t="s">
        <v>79</v>
      </c>
      <c r="B157" s="123" t="s">
        <v>18</v>
      </c>
      <c r="F157" s="188"/>
      <c r="G157" s="188"/>
      <c r="J157" s="188"/>
      <c r="N157" s="188"/>
      <c r="P157" s="201"/>
      <c r="Q157" s="188"/>
      <c r="R157" s="201"/>
      <c r="S157" s="201"/>
      <c r="T157" s="198"/>
      <c r="U157" s="198"/>
      <c r="V157" s="198"/>
      <c r="W157" s="198"/>
      <c r="X157" s="198">
        <v>180</v>
      </c>
      <c r="Y157" s="198">
        <v>170</v>
      </c>
      <c r="Z157" s="198"/>
      <c r="AA157" s="198"/>
      <c r="AB157" s="198"/>
      <c r="AC157" s="198"/>
      <c r="AD157" s="198"/>
      <c r="AE157" s="198"/>
      <c r="AF157" s="198"/>
      <c r="AG157" s="198"/>
      <c r="AH157" s="198">
        <v>120</v>
      </c>
      <c r="AI157" s="198"/>
      <c r="AJ157" s="198"/>
      <c r="AK157" s="198"/>
      <c r="AL157" s="198"/>
      <c r="AM157" s="198"/>
      <c r="AN157" s="198"/>
      <c r="AO157" s="198">
        <v>170</v>
      </c>
      <c r="AP157" s="198"/>
      <c r="AQ157" s="198"/>
      <c r="AR157" s="198"/>
      <c r="AS157" s="198">
        <v>170</v>
      </c>
      <c r="AT157" s="198"/>
      <c r="AU157" s="198"/>
      <c r="AV157" s="198"/>
      <c r="AW157" s="198">
        <v>110</v>
      </c>
      <c r="AX157" s="198">
        <v>130</v>
      </c>
      <c r="AY157" s="198"/>
      <c r="AZ157" s="198"/>
      <c r="BA157" s="198"/>
      <c r="BB157" s="198"/>
      <c r="BC157" s="198"/>
      <c r="BD157" s="198"/>
      <c r="BE157" s="198"/>
      <c r="BF157" s="198">
        <v>200</v>
      </c>
      <c r="BG157" s="198">
        <v>200</v>
      </c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V157" s="198"/>
      <c r="BW157" s="198"/>
      <c r="BX157" s="198"/>
      <c r="BY157" s="198">
        <v>160</v>
      </c>
      <c r="BZ157" s="198">
        <v>180</v>
      </c>
      <c r="CA157" s="198"/>
      <c r="CB157" s="198"/>
      <c r="CC157" s="198"/>
      <c r="CD157" s="198"/>
      <c r="CE157" s="198">
        <v>135</v>
      </c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>
        <v>300</v>
      </c>
      <c r="CQ157" s="198"/>
      <c r="CR157" s="198"/>
      <c r="CS157" s="198"/>
      <c r="CT157" s="198"/>
      <c r="CU157" s="198"/>
      <c r="CV157" s="198"/>
      <c r="CW157" s="198"/>
      <c r="CX157" s="198"/>
      <c r="CZ157" s="170">
        <f t="shared" si="2"/>
        <v>2225</v>
      </c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205"/>
    </row>
    <row r="158" spans="1:151" ht="12.75">
      <c r="A158" s="149" t="s">
        <v>80</v>
      </c>
      <c r="B158" s="123" t="s">
        <v>18</v>
      </c>
      <c r="E158" s="123">
        <v>240</v>
      </c>
      <c r="F158" s="188">
        <v>60</v>
      </c>
      <c r="G158" s="188">
        <v>60</v>
      </c>
      <c r="H158" s="123">
        <v>190</v>
      </c>
      <c r="I158" s="123">
        <v>190</v>
      </c>
      <c r="J158" s="188">
        <v>60</v>
      </c>
      <c r="K158" s="123">
        <v>210</v>
      </c>
      <c r="M158" s="123">
        <v>350</v>
      </c>
      <c r="N158" s="188">
        <v>60</v>
      </c>
      <c r="P158" s="201"/>
      <c r="Q158" s="188">
        <v>60</v>
      </c>
      <c r="R158" s="201">
        <f>180*1.0885-0.01</f>
        <v>195.92000000000002</v>
      </c>
      <c r="S158" s="201"/>
      <c r="T158" s="198">
        <v>110</v>
      </c>
      <c r="U158" s="198"/>
      <c r="V158" s="198"/>
      <c r="W158" s="198"/>
      <c r="X158" s="198">
        <v>200</v>
      </c>
      <c r="Y158" s="198">
        <v>170</v>
      </c>
      <c r="Z158" s="198">
        <v>170</v>
      </c>
      <c r="AA158" s="198">
        <v>275</v>
      </c>
      <c r="AB158" s="198"/>
      <c r="AC158" s="198"/>
      <c r="AD158" s="198"/>
      <c r="AE158" s="198"/>
      <c r="AF158" s="198"/>
      <c r="AG158" s="198"/>
      <c r="AH158" s="198"/>
      <c r="AI158" s="198">
        <v>250</v>
      </c>
      <c r="AJ158" s="198"/>
      <c r="AK158" s="198"/>
      <c r="AL158" s="198"/>
      <c r="AM158" s="198">
        <v>250</v>
      </c>
      <c r="AN158" s="198"/>
      <c r="AO158" s="198">
        <v>170</v>
      </c>
      <c r="AP158" s="198"/>
      <c r="AQ158" s="198"/>
      <c r="AR158" s="198"/>
      <c r="AS158" s="198">
        <v>170</v>
      </c>
      <c r="AT158" s="198"/>
      <c r="AU158" s="198">
        <v>160</v>
      </c>
      <c r="AV158" s="198"/>
      <c r="AW158" s="198">
        <v>110</v>
      </c>
      <c r="AX158" s="198">
        <v>130</v>
      </c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>
        <v>400</v>
      </c>
      <c r="BI158" s="198"/>
      <c r="BJ158" s="198">
        <v>280</v>
      </c>
      <c r="BK158" s="198"/>
      <c r="BL158" s="198"/>
      <c r="BM158" s="198"/>
      <c r="BN158" s="198">
        <v>280</v>
      </c>
      <c r="BO158" s="198">
        <v>280</v>
      </c>
      <c r="BP158" s="198">
        <v>100</v>
      </c>
      <c r="BQ158" s="198">
        <v>500</v>
      </c>
      <c r="BR158" s="198"/>
      <c r="BS158" s="198"/>
      <c r="BT158" s="198"/>
      <c r="BV158" s="198"/>
      <c r="BW158" s="198"/>
      <c r="BX158" s="198"/>
      <c r="BY158" s="198"/>
      <c r="BZ158" s="198"/>
      <c r="CA158" s="198"/>
      <c r="CB158" s="198">
        <v>110</v>
      </c>
      <c r="CC158" s="198"/>
      <c r="CD158" s="198">
        <v>135</v>
      </c>
      <c r="CE158" s="198">
        <v>135</v>
      </c>
      <c r="CF158" s="198"/>
      <c r="CG158" s="198"/>
      <c r="CH158" s="198">
        <v>210</v>
      </c>
      <c r="CI158" s="198"/>
      <c r="CJ158" s="198"/>
      <c r="CK158" s="198"/>
      <c r="CL158" s="198"/>
      <c r="CM158" s="198"/>
      <c r="CN158" s="198"/>
      <c r="CO158" s="198"/>
      <c r="CP158" s="198">
        <v>320</v>
      </c>
      <c r="CQ158" s="198"/>
      <c r="CR158" s="198">
        <v>65</v>
      </c>
      <c r="CS158" s="198"/>
      <c r="CT158" s="198">
        <v>60</v>
      </c>
      <c r="CU158" s="198"/>
      <c r="CV158" s="198"/>
      <c r="CW158" s="198"/>
      <c r="CX158" s="198"/>
      <c r="CZ158" s="170">
        <f t="shared" si="2"/>
        <v>6715.92</v>
      </c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205"/>
    </row>
    <row r="159" spans="1:151" ht="12.75">
      <c r="A159" s="149" t="s">
        <v>81</v>
      </c>
      <c r="B159" s="123" t="s">
        <v>18</v>
      </c>
      <c r="F159" s="188"/>
      <c r="G159" s="188"/>
      <c r="J159" s="188"/>
      <c r="N159" s="188"/>
      <c r="P159" s="201"/>
      <c r="Q159" s="188"/>
      <c r="R159" s="201"/>
      <c r="S159" s="201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>
        <v>170</v>
      </c>
      <c r="AP159" s="198"/>
      <c r="AQ159" s="198"/>
      <c r="AR159" s="198"/>
      <c r="AS159" s="198">
        <v>170</v>
      </c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>
        <v>200</v>
      </c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Z159" s="170">
        <f t="shared" si="2"/>
        <v>540</v>
      </c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205"/>
    </row>
    <row r="160" spans="1:151" ht="12.75">
      <c r="A160" s="149" t="s">
        <v>82</v>
      </c>
      <c r="B160" s="123" t="s">
        <v>18</v>
      </c>
      <c r="F160" s="188">
        <v>60</v>
      </c>
      <c r="G160" s="188">
        <v>60</v>
      </c>
      <c r="J160" s="188">
        <v>60</v>
      </c>
      <c r="N160" s="188">
        <v>60</v>
      </c>
      <c r="P160" s="201"/>
      <c r="Q160" s="188"/>
      <c r="R160" s="201"/>
      <c r="S160" s="201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>
        <v>120</v>
      </c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>
        <v>130</v>
      </c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>
        <v>400</v>
      </c>
      <c r="BI160" s="198"/>
      <c r="BJ160" s="198">
        <v>280</v>
      </c>
      <c r="BK160" s="198"/>
      <c r="BL160" s="198"/>
      <c r="BM160" s="198"/>
      <c r="BN160" s="198">
        <v>280</v>
      </c>
      <c r="BO160" s="198">
        <v>280</v>
      </c>
      <c r="BP160" s="198"/>
      <c r="BQ160" s="198"/>
      <c r="BR160" s="198"/>
      <c r="BS160" s="198"/>
      <c r="BT160" s="198"/>
      <c r="BV160" s="198"/>
      <c r="BW160" s="198"/>
      <c r="BX160" s="198"/>
      <c r="BY160" s="198"/>
      <c r="BZ160" s="198"/>
      <c r="CA160" s="198"/>
      <c r="CB160" s="198">
        <v>110</v>
      </c>
      <c r="CC160" s="198"/>
      <c r="CD160" s="198">
        <v>135</v>
      </c>
      <c r="CE160" s="198">
        <v>135</v>
      </c>
      <c r="CF160" s="198"/>
      <c r="CG160" s="198"/>
      <c r="CH160" s="198">
        <v>210</v>
      </c>
      <c r="CI160" s="198"/>
      <c r="CJ160" s="198"/>
      <c r="CK160" s="198"/>
      <c r="CL160" s="198"/>
      <c r="CM160" s="198"/>
      <c r="CN160" s="198"/>
      <c r="CO160" s="198"/>
      <c r="CP160" s="198">
        <v>320</v>
      </c>
      <c r="CQ160" s="198"/>
      <c r="CR160" s="198">
        <v>280</v>
      </c>
      <c r="CS160" s="198"/>
      <c r="CT160" s="198">
        <v>60</v>
      </c>
      <c r="CU160" s="198"/>
      <c r="CV160" s="198"/>
      <c r="CW160" s="198"/>
      <c r="CX160" s="198"/>
      <c r="CZ160" s="170">
        <f t="shared" si="2"/>
        <v>2980</v>
      </c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205"/>
    </row>
    <row r="161" spans="1:151" ht="12.75">
      <c r="A161" s="149" t="s">
        <v>874</v>
      </c>
      <c r="B161" s="123" t="s">
        <v>21</v>
      </c>
      <c r="F161" s="188"/>
      <c r="G161" s="188"/>
      <c r="J161" s="188"/>
      <c r="N161" s="188"/>
      <c r="P161" s="201"/>
      <c r="Q161" s="188"/>
      <c r="R161" s="201"/>
      <c r="S161" s="201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V161" s="198"/>
      <c r="BW161" s="198"/>
      <c r="BX161" s="198"/>
      <c r="BY161" s="198"/>
      <c r="BZ161" s="198"/>
      <c r="CA161" s="198"/>
      <c r="CB161" s="198"/>
      <c r="CC161" s="198"/>
      <c r="CD161" s="198">
        <v>135</v>
      </c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Z161" s="170">
        <f>SUM(C161:CY161)</f>
        <v>135</v>
      </c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205"/>
    </row>
    <row r="162" spans="1:151" ht="12.75">
      <c r="A162" s="149" t="s">
        <v>233</v>
      </c>
      <c r="B162" s="123" t="s">
        <v>152</v>
      </c>
      <c r="F162" s="188"/>
      <c r="G162" s="188"/>
      <c r="J162" s="188"/>
      <c r="N162" s="188"/>
      <c r="P162" s="201"/>
      <c r="Q162" s="188"/>
      <c r="R162" s="201"/>
      <c r="S162" s="201"/>
      <c r="T162" s="198"/>
      <c r="U162" s="198"/>
      <c r="V162" s="198"/>
      <c r="W162" s="198"/>
      <c r="X162" s="198">
        <v>90</v>
      </c>
      <c r="Y162" s="198">
        <v>80</v>
      </c>
      <c r="Z162" s="198"/>
      <c r="AA162" s="198">
        <v>180</v>
      </c>
      <c r="AB162" s="198"/>
      <c r="AC162" s="198"/>
      <c r="AD162" s="198"/>
      <c r="AE162" s="198"/>
      <c r="AF162" s="198"/>
      <c r="AG162" s="198">
        <v>60</v>
      </c>
      <c r="AH162" s="198">
        <v>70</v>
      </c>
      <c r="AI162" s="198"/>
      <c r="AJ162" s="198"/>
      <c r="AK162" s="198">
        <v>60</v>
      </c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>
        <v>80</v>
      </c>
      <c r="AV162" s="198"/>
      <c r="AW162" s="198"/>
      <c r="AX162" s="198"/>
      <c r="AY162" s="198"/>
      <c r="AZ162" s="198">
        <v>70</v>
      </c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V162" s="198"/>
      <c r="BW162" s="198"/>
      <c r="BX162" s="198"/>
      <c r="BY162" s="198"/>
      <c r="BZ162" s="198"/>
      <c r="CA162" s="198"/>
      <c r="CB162" s="198">
        <v>60</v>
      </c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>
        <v>200</v>
      </c>
      <c r="CQ162" s="198"/>
      <c r="CR162" s="198"/>
      <c r="CS162" s="198"/>
      <c r="CT162" s="198"/>
      <c r="CU162" s="198"/>
      <c r="CV162" s="198"/>
      <c r="CW162" s="198"/>
      <c r="CX162" s="198"/>
      <c r="CZ162" s="170">
        <f t="shared" si="2"/>
        <v>950</v>
      </c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205"/>
    </row>
    <row r="163" spans="1:151" ht="12.75">
      <c r="A163" s="149" t="s">
        <v>129</v>
      </c>
      <c r="B163" s="123" t="s">
        <v>18</v>
      </c>
      <c r="F163" s="188"/>
      <c r="G163" s="188"/>
      <c r="J163" s="188"/>
      <c r="N163" s="188"/>
      <c r="P163" s="201"/>
      <c r="Q163" s="188"/>
      <c r="R163" s="201"/>
      <c r="S163" s="201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Z163" s="170">
        <f t="shared" si="2"/>
        <v>0</v>
      </c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205"/>
    </row>
    <row r="164" spans="1:151" ht="12.75">
      <c r="A164" s="149" t="s">
        <v>109</v>
      </c>
      <c r="B164" s="123" t="s">
        <v>18</v>
      </c>
      <c r="F164" s="188"/>
      <c r="G164" s="188"/>
      <c r="J164" s="188"/>
      <c r="N164" s="188"/>
      <c r="P164" s="201"/>
      <c r="Q164" s="188"/>
      <c r="R164" s="201"/>
      <c r="S164" s="201"/>
      <c r="T164" s="198"/>
      <c r="U164" s="198"/>
      <c r="V164" s="198"/>
      <c r="W164" s="198"/>
      <c r="X164" s="198"/>
      <c r="Y164" s="198"/>
      <c r="Z164" s="198"/>
      <c r="AA164" s="198">
        <v>275</v>
      </c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 s="198"/>
      <c r="CO164" s="198"/>
      <c r="CP164" s="198"/>
      <c r="CQ164" s="198"/>
      <c r="CR164" s="198"/>
      <c r="CS164" s="198"/>
      <c r="CT164" s="198"/>
      <c r="CU164" s="198"/>
      <c r="CV164" s="198"/>
      <c r="CW164" s="198"/>
      <c r="CX164" s="198"/>
      <c r="CZ164" s="170">
        <f t="shared" si="2"/>
        <v>275</v>
      </c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205"/>
    </row>
    <row r="165" spans="1:104" ht="12.75">
      <c r="A165" s="149" t="s">
        <v>60</v>
      </c>
      <c r="B165" s="123" t="s">
        <v>17</v>
      </c>
      <c r="F165" s="188"/>
      <c r="G165" s="188"/>
      <c r="J165" s="188"/>
      <c r="N165" s="188"/>
      <c r="P165" s="201"/>
      <c r="Q165" s="188"/>
      <c r="R165" s="201"/>
      <c r="S165" s="201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Z165" s="170">
        <f t="shared" si="2"/>
        <v>0</v>
      </c>
    </row>
    <row r="166" spans="1:104" ht="12.75">
      <c r="A166" s="149" t="s">
        <v>623</v>
      </c>
      <c r="B166" s="123" t="s">
        <v>17</v>
      </c>
      <c r="F166" s="188"/>
      <c r="G166" s="188"/>
      <c r="J166" s="188"/>
      <c r="N166" s="188"/>
      <c r="P166" s="201"/>
      <c r="Q166" s="188"/>
      <c r="R166" s="201"/>
      <c r="S166" s="201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>
        <v>110</v>
      </c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Z166" s="170">
        <f t="shared" si="2"/>
        <v>110</v>
      </c>
    </row>
    <row r="167" spans="1:104" ht="12.75">
      <c r="A167" s="149" t="s">
        <v>550</v>
      </c>
      <c r="B167" s="123" t="s">
        <v>17</v>
      </c>
      <c r="F167" s="188"/>
      <c r="G167" s="188"/>
      <c r="J167" s="188"/>
      <c r="N167" s="188"/>
      <c r="P167" s="201"/>
      <c r="Q167" s="188"/>
      <c r="R167" s="201"/>
      <c r="S167" s="201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>
        <f>60+30</f>
        <v>90</v>
      </c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V167" s="198"/>
      <c r="BW167" s="198"/>
      <c r="BX167" s="198"/>
      <c r="BY167" s="198"/>
      <c r="BZ167" s="198"/>
      <c r="CA167" s="198"/>
      <c r="CB167" s="198"/>
      <c r="CC167" s="198"/>
      <c r="CD167" s="198">
        <v>85</v>
      </c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Z167" s="170">
        <f t="shared" si="2"/>
        <v>175</v>
      </c>
    </row>
    <row r="168" spans="1:104" ht="12.75">
      <c r="A168" s="149" t="s">
        <v>884</v>
      </c>
      <c r="B168" s="123" t="s">
        <v>17</v>
      </c>
      <c r="F168" s="188"/>
      <c r="G168" s="188"/>
      <c r="J168" s="188"/>
      <c r="N168" s="188"/>
      <c r="P168" s="201"/>
      <c r="Q168" s="188"/>
      <c r="R168" s="201"/>
      <c r="S168" s="201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V168" s="198"/>
      <c r="BW168" s="198"/>
      <c r="BX168" s="198"/>
      <c r="BY168" s="198"/>
      <c r="BZ168" s="198"/>
      <c r="CA168" s="198"/>
      <c r="CB168" s="198"/>
      <c r="CC168" s="198"/>
      <c r="CD168" s="198">
        <v>215</v>
      </c>
      <c r="CE168" s="198"/>
      <c r="CF168" s="198"/>
      <c r="CG168" s="198"/>
      <c r="CH168" s="198"/>
      <c r="CI168" s="198"/>
      <c r="CJ168" s="198"/>
      <c r="CK168" s="198"/>
      <c r="CL168" s="198"/>
      <c r="CM168" s="198"/>
      <c r="CN168" s="198"/>
      <c r="CO168" s="198"/>
      <c r="CP168" s="198"/>
      <c r="CQ168" s="198"/>
      <c r="CR168" s="198"/>
      <c r="CS168" s="198"/>
      <c r="CT168" s="198"/>
      <c r="CU168" s="198"/>
      <c r="CV168" s="198"/>
      <c r="CW168" s="198"/>
      <c r="CX168" s="198"/>
      <c r="CZ168" s="170">
        <f>SUM(C168:CY168)</f>
        <v>215</v>
      </c>
    </row>
    <row r="169" spans="1:104" ht="12.75">
      <c r="A169" s="149" t="s">
        <v>624</v>
      </c>
      <c r="B169" s="123" t="s">
        <v>17</v>
      </c>
      <c r="F169" s="188"/>
      <c r="G169" s="188"/>
      <c r="J169" s="188"/>
      <c r="N169" s="188"/>
      <c r="P169" s="201"/>
      <c r="Q169" s="188"/>
      <c r="R169" s="201"/>
      <c r="S169" s="201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>
        <v>110</v>
      </c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V169" s="198"/>
      <c r="BW169" s="198"/>
      <c r="BX169" s="198"/>
      <c r="BY169" s="198"/>
      <c r="BZ169" s="198"/>
      <c r="CA169" s="198"/>
      <c r="CB169" s="198"/>
      <c r="CC169" s="198"/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 s="198"/>
      <c r="CO169" s="198"/>
      <c r="CP169" s="198"/>
      <c r="CQ169" s="198"/>
      <c r="CR169" s="198"/>
      <c r="CS169" s="198"/>
      <c r="CT169" s="198"/>
      <c r="CU169" s="198"/>
      <c r="CV169" s="198"/>
      <c r="CW169" s="198"/>
      <c r="CX169" s="198"/>
      <c r="CZ169" s="170">
        <f t="shared" si="2"/>
        <v>110</v>
      </c>
    </row>
    <row r="170" spans="1:104" ht="12.75">
      <c r="A170" s="149" t="s">
        <v>625</v>
      </c>
      <c r="B170" s="123" t="s">
        <v>17</v>
      </c>
      <c r="F170" s="188"/>
      <c r="G170" s="188"/>
      <c r="J170" s="188"/>
      <c r="N170" s="188"/>
      <c r="P170" s="201"/>
      <c r="Q170" s="188"/>
      <c r="R170" s="201"/>
      <c r="S170" s="201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>
        <v>110</v>
      </c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V170" s="198"/>
      <c r="BW170" s="198"/>
      <c r="BX170" s="198"/>
      <c r="BY170" s="198"/>
      <c r="BZ170" s="198"/>
      <c r="CA170" s="198"/>
      <c r="CB170" s="198"/>
      <c r="CC170" s="198"/>
      <c r="CD170" s="198">
        <v>135</v>
      </c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8"/>
      <c r="CQ170" s="198"/>
      <c r="CR170" s="198"/>
      <c r="CS170" s="198"/>
      <c r="CT170" s="198"/>
      <c r="CU170" s="198"/>
      <c r="CV170" s="198"/>
      <c r="CW170" s="198"/>
      <c r="CX170" s="198"/>
      <c r="CZ170" s="170">
        <f t="shared" si="2"/>
        <v>245</v>
      </c>
    </row>
    <row r="171" spans="1:104" ht="12.75">
      <c r="A171" s="149" t="s">
        <v>551</v>
      </c>
      <c r="B171" s="123" t="s">
        <v>17</v>
      </c>
      <c r="F171" s="188"/>
      <c r="G171" s="188"/>
      <c r="J171" s="188"/>
      <c r="N171" s="188"/>
      <c r="P171" s="201"/>
      <c r="Q171" s="188"/>
      <c r="R171" s="201"/>
      <c r="S171" s="201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>
        <f>60+30</f>
        <v>90</v>
      </c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Z171" s="170">
        <f t="shared" si="2"/>
        <v>90</v>
      </c>
    </row>
    <row r="172" spans="1:104" ht="12.75">
      <c r="A172" s="149" t="s">
        <v>552</v>
      </c>
      <c r="B172" s="123" t="s">
        <v>21</v>
      </c>
      <c r="F172" s="188"/>
      <c r="G172" s="188"/>
      <c r="J172" s="188"/>
      <c r="N172" s="188"/>
      <c r="P172" s="201"/>
      <c r="Q172" s="188"/>
      <c r="R172" s="201"/>
      <c r="S172" s="201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>
        <f>60+30</f>
        <v>90</v>
      </c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V172" s="198"/>
      <c r="BW172" s="198"/>
      <c r="BX172" s="198"/>
      <c r="BY172" s="198"/>
      <c r="BZ172" s="198"/>
      <c r="CA172" s="198"/>
      <c r="CB172" s="198"/>
      <c r="CC172" s="198"/>
      <c r="CD172" s="198">
        <v>85</v>
      </c>
      <c r="CE172" s="198"/>
      <c r="CF172" s="198"/>
      <c r="CG172" s="198"/>
      <c r="CH172" s="198"/>
      <c r="CI172" s="198">
        <v>65</v>
      </c>
      <c r="CJ172" s="198"/>
      <c r="CK172" s="198"/>
      <c r="CL172" s="198"/>
      <c r="CM172" s="198"/>
      <c r="CN172" s="198"/>
      <c r="CO172" s="198"/>
      <c r="CP172" s="198"/>
      <c r="CQ172" s="198"/>
      <c r="CR172" s="198"/>
      <c r="CS172" s="198"/>
      <c r="CT172" s="198"/>
      <c r="CU172" s="198"/>
      <c r="CV172" s="198"/>
      <c r="CW172" s="198"/>
      <c r="CX172" s="198"/>
      <c r="CZ172" s="170">
        <f t="shared" si="2"/>
        <v>240</v>
      </c>
    </row>
    <row r="173" spans="1:104" ht="12.75">
      <c r="A173" s="149" t="s">
        <v>875</v>
      </c>
      <c r="B173" s="123" t="s">
        <v>21</v>
      </c>
      <c r="F173" s="188"/>
      <c r="G173" s="188"/>
      <c r="J173" s="188"/>
      <c r="N173" s="188"/>
      <c r="P173" s="201"/>
      <c r="Q173" s="188"/>
      <c r="R173" s="201"/>
      <c r="S173" s="201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V173" s="198"/>
      <c r="BW173" s="198"/>
      <c r="BX173" s="198"/>
      <c r="BY173" s="198"/>
      <c r="BZ173" s="198"/>
      <c r="CA173" s="198"/>
      <c r="CB173" s="198"/>
      <c r="CC173" s="198"/>
      <c r="CD173" s="198">
        <v>135</v>
      </c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Z173" s="170">
        <f>SUM(C173:CY173)</f>
        <v>135</v>
      </c>
    </row>
    <row r="174" spans="1:104" ht="12.75">
      <c r="A174" s="149" t="s">
        <v>931</v>
      </c>
      <c r="B174" s="123" t="s">
        <v>21</v>
      </c>
      <c r="F174" s="188"/>
      <c r="G174" s="188"/>
      <c r="J174" s="188"/>
      <c r="N174" s="188"/>
      <c r="P174" s="201"/>
      <c r="Q174" s="188"/>
      <c r="R174" s="201"/>
      <c r="S174" s="201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>
        <v>65</v>
      </c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Z174" s="170">
        <f>SUM(C174:CY174)</f>
        <v>65</v>
      </c>
    </row>
    <row r="175" spans="1:104" ht="12.75">
      <c r="A175" s="149" t="s">
        <v>932</v>
      </c>
      <c r="B175" s="123" t="s">
        <v>21</v>
      </c>
      <c r="F175" s="188"/>
      <c r="G175" s="188"/>
      <c r="J175" s="188"/>
      <c r="N175" s="188"/>
      <c r="P175" s="201"/>
      <c r="Q175" s="188"/>
      <c r="R175" s="201"/>
      <c r="S175" s="201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>
        <v>65</v>
      </c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Z175" s="170">
        <f>SUM(C175:CY175)</f>
        <v>65</v>
      </c>
    </row>
    <row r="176" spans="1:104" ht="12.75">
      <c r="A176" s="149" t="s">
        <v>244</v>
      </c>
      <c r="B176" s="123" t="s">
        <v>18</v>
      </c>
      <c r="F176" s="188"/>
      <c r="G176" s="188"/>
      <c r="J176" s="188"/>
      <c r="N176" s="188"/>
      <c r="P176" s="201"/>
      <c r="Q176" s="188"/>
      <c r="R176" s="201"/>
      <c r="S176" s="201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Z176" s="170">
        <f t="shared" si="2"/>
        <v>0</v>
      </c>
    </row>
    <row r="177" spans="1:151" ht="12.75">
      <c r="A177" s="149" t="s">
        <v>83</v>
      </c>
      <c r="B177" s="123" t="s">
        <v>18</v>
      </c>
      <c r="F177" s="188"/>
      <c r="G177" s="188"/>
      <c r="J177" s="188"/>
      <c r="N177" s="188"/>
      <c r="P177" s="201"/>
      <c r="Q177" s="188"/>
      <c r="R177" s="201"/>
      <c r="S177" s="201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>
        <v>170</v>
      </c>
      <c r="AP177" s="198"/>
      <c r="AQ177" s="198"/>
      <c r="AR177" s="198"/>
      <c r="AS177" s="198">
        <v>170</v>
      </c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>
        <f>4*170</f>
        <v>680</v>
      </c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Z177" s="170">
        <f t="shared" si="2"/>
        <v>1020</v>
      </c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205"/>
    </row>
    <row r="178" spans="1:151" ht="12.75">
      <c r="A178" s="149" t="s">
        <v>84</v>
      </c>
      <c r="B178" s="123" t="s">
        <v>18</v>
      </c>
      <c r="F178" s="188"/>
      <c r="G178" s="188"/>
      <c r="J178" s="188"/>
      <c r="N178" s="188"/>
      <c r="P178" s="201"/>
      <c r="Q178" s="188"/>
      <c r="R178" s="201"/>
      <c r="S178" s="201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>
        <v>90</v>
      </c>
      <c r="AP178" s="198"/>
      <c r="AQ178" s="198"/>
      <c r="AR178" s="198"/>
      <c r="AS178" s="198">
        <v>90</v>
      </c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>
        <f>4*100</f>
        <v>400</v>
      </c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Z178" s="170">
        <f t="shared" si="2"/>
        <v>580</v>
      </c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205"/>
    </row>
    <row r="179" spans="1:151" ht="12.75">
      <c r="A179" s="149" t="s">
        <v>85</v>
      </c>
      <c r="B179" s="123" t="s">
        <v>18</v>
      </c>
      <c r="F179" s="188"/>
      <c r="G179" s="188"/>
      <c r="J179" s="188"/>
      <c r="N179" s="188"/>
      <c r="P179" s="201"/>
      <c r="Q179" s="188"/>
      <c r="R179" s="201"/>
      <c r="S179" s="201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>
        <v>170</v>
      </c>
      <c r="AP179" s="198"/>
      <c r="AQ179" s="198"/>
      <c r="AR179" s="198"/>
      <c r="AS179" s="198">
        <v>170</v>
      </c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>
        <f>4*170</f>
        <v>680</v>
      </c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Z179" s="170">
        <f t="shared" si="2"/>
        <v>1020</v>
      </c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  <c r="EH179" s="123"/>
      <c r="EI179" s="123"/>
      <c r="EJ179" s="123"/>
      <c r="EK179" s="123"/>
      <c r="EL179" s="123"/>
      <c r="EM179" s="123"/>
      <c r="EN179" s="123"/>
      <c r="EO179" s="123"/>
      <c r="EP179" s="123"/>
      <c r="EQ179" s="123"/>
      <c r="ER179" s="123"/>
      <c r="ES179" s="123"/>
      <c r="ET179" s="123"/>
      <c r="EU179" s="205"/>
    </row>
    <row r="180" spans="1:151" ht="12.75">
      <c r="A180" s="149" t="s">
        <v>86</v>
      </c>
      <c r="B180" s="123" t="s">
        <v>18</v>
      </c>
      <c r="F180" s="188"/>
      <c r="G180" s="188"/>
      <c r="J180" s="188"/>
      <c r="N180" s="188"/>
      <c r="P180" s="201"/>
      <c r="Q180" s="188"/>
      <c r="R180" s="201"/>
      <c r="S180" s="201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>
        <v>170</v>
      </c>
      <c r="AP180" s="198"/>
      <c r="AQ180" s="198"/>
      <c r="AR180" s="198"/>
      <c r="AS180" s="198">
        <v>170</v>
      </c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>
        <f>4*170</f>
        <v>680</v>
      </c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Z180" s="170">
        <f t="shared" si="2"/>
        <v>1020</v>
      </c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3"/>
      <c r="EF180" s="123"/>
      <c r="EG180" s="123"/>
      <c r="EH180" s="123"/>
      <c r="EI180" s="123"/>
      <c r="EJ180" s="123"/>
      <c r="EK180" s="123"/>
      <c r="EL180" s="123"/>
      <c r="EM180" s="123"/>
      <c r="EN180" s="123"/>
      <c r="EO180" s="123"/>
      <c r="EP180" s="123"/>
      <c r="EQ180" s="123"/>
      <c r="ER180" s="123"/>
      <c r="ES180" s="123"/>
      <c r="ET180" s="123"/>
      <c r="EU180" s="205"/>
    </row>
    <row r="181" spans="1:104" ht="12.75">
      <c r="A181" s="149" t="s">
        <v>208</v>
      </c>
      <c r="B181" s="123" t="s">
        <v>152</v>
      </c>
      <c r="F181" s="188"/>
      <c r="G181" s="188"/>
      <c r="J181" s="188"/>
      <c r="N181" s="188"/>
      <c r="P181" s="201"/>
      <c r="Q181" s="188"/>
      <c r="R181" s="201"/>
      <c r="S181" s="201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198"/>
      <c r="CT181" s="198"/>
      <c r="CU181" s="198"/>
      <c r="CV181" s="198"/>
      <c r="CW181" s="198"/>
      <c r="CX181" s="198"/>
      <c r="CZ181" s="170">
        <f t="shared" si="2"/>
        <v>0</v>
      </c>
    </row>
    <row r="182" spans="1:104" ht="12.75">
      <c r="A182" s="149" t="s">
        <v>497</v>
      </c>
      <c r="B182" s="123" t="s">
        <v>21</v>
      </c>
      <c r="F182" s="188"/>
      <c r="G182" s="188"/>
      <c r="J182" s="188"/>
      <c r="N182" s="188"/>
      <c r="P182" s="201"/>
      <c r="Q182" s="188"/>
      <c r="R182" s="201"/>
      <c r="S182" s="201"/>
      <c r="T182" s="198"/>
      <c r="U182" s="198"/>
      <c r="V182" s="198"/>
      <c r="W182" s="198">
        <v>200</v>
      </c>
      <c r="X182" s="198">
        <f>180+20</f>
        <v>200</v>
      </c>
      <c r="Y182" s="198">
        <v>255</v>
      </c>
      <c r="Z182" s="198"/>
      <c r="AA182" s="198"/>
      <c r="AB182" s="198"/>
      <c r="AC182" s="198"/>
      <c r="AD182" s="198"/>
      <c r="AE182" s="198"/>
      <c r="AF182" s="198"/>
      <c r="AG182" s="198">
        <v>120</v>
      </c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>
        <v>110</v>
      </c>
      <c r="AX182" s="198"/>
      <c r="AY182" s="198"/>
      <c r="AZ182" s="198"/>
      <c r="BA182" s="198"/>
      <c r="BB182" s="198">
        <v>110</v>
      </c>
      <c r="BC182" s="198"/>
      <c r="BD182" s="198"/>
      <c r="BE182" s="198">
        <v>110</v>
      </c>
      <c r="BF182" s="198">
        <v>200</v>
      </c>
      <c r="BG182" s="198">
        <v>200</v>
      </c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V182" s="198">
        <v>60</v>
      </c>
      <c r="BW182" s="198"/>
      <c r="BX182" s="198"/>
      <c r="BY182" s="198">
        <v>320</v>
      </c>
      <c r="BZ182" s="198"/>
      <c r="CA182" s="198"/>
      <c r="CB182" s="198"/>
      <c r="CC182" s="198"/>
      <c r="CD182" s="198">
        <v>135</v>
      </c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>
        <v>100</v>
      </c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Z182" s="170">
        <f t="shared" si="2"/>
        <v>2120</v>
      </c>
    </row>
    <row r="183" spans="1:104" ht="12.75">
      <c r="A183" s="149" t="s">
        <v>509</v>
      </c>
      <c r="B183" s="123" t="s">
        <v>21</v>
      </c>
      <c r="F183" s="188"/>
      <c r="G183" s="188"/>
      <c r="J183" s="188"/>
      <c r="N183" s="188"/>
      <c r="P183" s="201"/>
      <c r="Q183" s="188"/>
      <c r="R183" s="201"/>
      <c r="S183" s="201"/>
      <c r="T183" s="198"/>
      <c r="U183" s="198"/>
      <c r="V183" s="198"/>
      <c r="W183" s="198"/>
      <c r="X183" s="198"/>
      <c r="Y183" s="198">
        <v>80</v>
      </c>
      <c r="Z183" s="198"/>
      <c r="AA183" s="198"/>
      <c r="AB183" s="198"/>
      <c r="AC183" s="198"/>
      <c r="AD183" s="198"/>
      <c r="AE183" s="198"/>
      <c r="AF183" s="198"/>
      <c r="AG183" s="198">
        <v>60</v>
      </c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>
        <v>60</v>
      </c>
      <c r="AX183" s="198"/>
      <c r="AY183" s="198"/>
      <c r="AZ183" s="198"/>
      <c r="BA183" s="198"/>
      <c r="BB183" s="198">
        <v>60</v>
      </c>
      <c r="BC183" s="198"/>
      <c r="BD183" s="198"/>
      <c r="BE183" s="198">
        <v>60</v>
      </c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V183" s="198"/>
      <c r="BW183" s="198"/>
      <c r="BX183" s="198"/>
      <c r="BY183" s="198">
        <v>160</v>
      </c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>
        <v>65</v>
      </c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Z183" s="170">
        <f t="shared" si="2"/>
        <v>545</v>
      </c>
    </row>
    <row r="184" spans="1:104" ht="12.75">
      <c r="A184" s="149" t="s">
        <v>170</v>
      </c>
      <c r="B184" s="123" t="s">
        <v>152</v>
      </c>
      <c r="F184" s="188"/>
      <c r="G184" s="188"/>
      <c r="J184" s="188"/>
      <c r="N184" s="188"/>
      <c r="P184" s="201"/>
      <c r="Q184" s="188"/>
      <c r="R184" s="201"/>
      <c r="S184" s="201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>
        <v>160</v>
      </c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V184" s="198"/>
      <c r="BW184" s="198"/>
      <c r="BX184" s="198"/>
      <c r="BY184" s="198"/>
      <c r="BZ184" s="198"/>
      <c r="CA184" s="198"/>
      <c r="CB184" s="198"/>
      <c r="CC184" s="198"/>
      <c r="CD184" s="198">
        <v>135</v>
      </c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Z184" s="170">
        <f t="shared" si="2"/>
        <v>295</v>
      </c>
    </row>
    <row r="185" spans="1:104" ht="12.75">
      <c r="A185" s="149" t="s">
        <v>207</v>
      </c>
      <c r="B185" s="123" t="s">
        <v>17</v>
      </c>
      <c r="F185" s="188"/>
      <c r="G185" s="188"/>
      <c r="J185" s="188"/>
      <c r="N185" s="188"/>
      <c r="P185" s="201"/>
      <c r="Q185" s="188"/>
      <c r="R185" s="201"/>
      <c r="S185" s="201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>
        <v>60</v>
      </c>
      <c r="AD185" s="198"/>
      <c r="AE185" s="198"/>
      <c r="AF185" s="198">
        <v>60</v>
      </c>
      <c r="AG185" s="198"/>
      <c r="AH185" s="198"/>
      <c r="AI185" s="198"/>
      <c r="AJ185" s="198"/>
      <c r="AK185" s="198"/>
      <c r="AL185" s="198"/>
      <c r="AM185" s="198"/>
      <c r="AN185" s="198"/>
      <c r="AO185" s="198">
        <v>90</v>
      </c>
      <c r="AP185" s="198"/>
      <c r="AQ185" s="198">
        <v>90</v>
      </c>
      <c r="AR185" s="198"/>
      <c r="AS185" s="198"/>
      <c r="AT185" s="198"/>
      <c r="AU185" s="198"/>
      <c r="AV185" s="198">
        <v>60</v>
      </c>
      <c r="AW185" s="198">
        <v>60</v>
      </c>
      <c r="AX185" s="198"/>
      <c r="AY185" s="198"/>
      <c r="AZ185" s="198"/>
      <c r="BA185" s="198"/>
      <c r="BB185" s="198"/>
      <c r="BC185" s="198"/>
      <c r="BD185" s="198"/>
      <c r="BE185" s="198"/>
      <c r="BF185" s="198">
        <v>100</v>
      </c>
      <c r="BG185" s="198">
        <v>100</v>
      </c>
      <c r="BH185" s="198"/>
      <c r="BI185" s="198"/>
      <c r="BJ185" s="198"/>
      <c r="BK185" s="198"/>
      <c r="BL185" s="198">
        <f>130*84.9885/100</f>
        <v>110.48505000000002</v>
      </c>
      <c r="BM185" s="198"/>
      <c r="BN185" s="198"/>
      <c r="BO185" s="198"/>
      <c r="BP185" s="198"/>
      <c r="BQ185" s="198"/>
      <c r="BR185" s="198"/>
      <c r="BS185" s="198">
        <f>125*0.86775786</f>
        <v>108.46973249999999</v>
      </c>
      <c r="BT185" s="198"/>
      <c r="BV185" s="198"/>
      <c r="BW185" s="198"/>
      <c r="BX185" s="198"/>
      <c r="BY185" s="198"/>
      <c r="BZ185" s="198"/>
      <c r="CA185" s="198"/>
      <c r="CB185" s="198"/>
      <c r="CC185" s="198">
        <v>80</v>
      </c>
      <c r="CD185" s="198">
        <v>85</v>
      </c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Z185" s="170">
        <f t="shared" si="2"/>
        <v>1003.9547825</v>
      </c>
    </row>
    <row r="186" spans="1:104" ht="12.75">
      <c r="A186" s="149" t="s">
        <v>305</v>
      </c>
      <c r="B186" s="123" t="s">
        <v>17</v>
      </c>
      <c r="F186" s="188"/>
      <c r="G186" s="188"/>
      <c r="J186" s="188"/>
      <c r="N186" s="188"/>
      <c r="P186" s="201"/>
      <c r="Q186" s="188"/>
      <c r="R186" s="201"/>
      <c r="S186" s="201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Z186" s="170">
        <f t="shared" si="2"/>
        <v>0</v>
      </c>
    </row>
    <row r="187" spans="1:104" ht="12.75">
      <c r="A187" s="149" t="s">
        <v>61</v>
      </c>
      <c r="B187" s="123" t="s">
        <v>17</v>
      </c>
      <c r="D187" s="123">
        <v>100</v>
      </c>
      <c r="F187" s="188"/>
      <c r="G187" s="188"/>
      <c r="J187" s="188"/>
      <c r="N187" s="188"/>
      <c r="P187" s="201"/>
      <c r="Q187" s="188"/>
      <c r="R187" s="201"/>
      <c r="S187" s="201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>
        <v>120</v>
      </c>
      <c r="AD187" s="198"/>
      <c r="AE187" s="198"/>
      <c r="AF187" s="198">
        <v>110</v>
      </c>
      <c r="AG187" s="198"/>
      <c r="AH187" s="198"/>
      <c r="AI187" s="198"/>
      <c r="AJ187" s="198"/>
      <c r="AK187" s="198"/>
      <c r="AL187" s="198"/>
      <c r="AM187" s="198"/>
      <c r="AN187" s="198"/>
      <c r="AO187" s="198">
        <v>170</v>
      </c>
      <c r="AP187" s="198"/>
      <c r="AQ187" s="198">
        <v>170</v>
      </c>
      <c r="AR187" s="198"/>
      <c r="AS187" s="198"/>
      <c r="AT187" s="198"/>
      <c r="AU187" s="198"/>
      <c r="AV187" s="198">
        <v>110</v>
      </c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>
        <v>300</v>
      </c>
      <c r="BG187" s="198">
        <v>300</v>
      </c>
      <c r="BH187" s="198"/>
      <c r="BI187" s="198"/>
      <c r="BJ187" s="198"/>
      <c r="BK187" s="198">
        <v>45</v>
      </c>
      <c r="BL187" s="198">
        <f>220*84.9885/100</f>
        <v>186.9747</v>
      </c>
      <c r="BM187" s="198"/>
      <c r="BN187" s="198"/>
      <c r="BO187" s="198"/>
      <c r="BP187" s="198"/>
      <c r="BQ187" s="198"/>
      <c r="BR187" s="198"/>
      <c r="BS187" s="198">
        <f>250*0.86775786</f>
        <v>216.93946499999998</v>
      </c>
      <c r="BT187" s="198"/>
      <c r="BV187" s="198"/>
      <c r="BW187" s="198"/>
      <c r="BX187" s="198"/>
      <c r="BY187" s="198"/>
      <c r="BZ187" s="198">
        <v>270</v>
      </c>
      <c r="CA187" s="198">
        <v>270</v>
      </c>
      <c r="CB187" s="198"/>
      <c r="CC187" s="198">
        <v>120</v>
      </c>
      <c r="CD187" s="198">
        <v>135</v>
      </c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 s="198"/>
      <c r="CO187" s="198"/>
      <c r="CP187" s="198"/>
      <c r="CQ187" s="198"/>
      <c r="CR187" s="198"/>
      <c r="CS187" s="198"/>
      <c r="CT187" s="198"/>
      <c r="CU187" s="198"/>
      <c r="CV187" s="198"/>
      <c r="CW187" s="198"/>
      <c r="CX187" s="198"/>
      <c r="CZ187" s="170">
        <f t="shared" si="2"/>
        <v>2623.914165</v>
      </c>
    </row>
    <row r="188" spans="1:104" ht="12.75">
      <c r="A188" s="149" t="s">
        <v>64</v>
      </c>
      <c r="B188" s="123" t="s">
        <v>17</v>
      </c>
      <c r="D188" s="123">
        <v>50</v>
      </c>
      <c r="F188" s="188"/>
      <c r="G188" s="188"/>
      <c r="J188" s="188"/>
      <c r="N188" s="188"/>
      <c r="P188" s="201"/>
      <c r="Q188" s="188"/>
      <c r="R188" s="201"/>
      <c r="S188" s="201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>
        <v>60</v>
      </c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>
        <v>90</v>
      </c>
      <c r="AP188" s="198"/>
      <c r="AQ188" s="198">
        <v>90</v>
      </c>
      <c r="AR188" s="198"/>
      <c r="AS188" s="198"/>
      <c r="AT188" s="198"/>
      <c r="AU188" s="198"/>
      <c r="AV188" s="198">
        <v>60</v>
      </c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>
        <v>150</v>
      </c>
      <c r="BG188" s="198">
        <v>150</v>
      </c>
      <c r="BH188" s="198"/>
      <c r="BI188" s="198"/>
      <c r="BJ188" s="198"/>
      <c r="BK188" s="198">
        <v>20</v>
      </c>
      <c r="BL188" s="198">
        <f>(25+25+130)*84.9885/100</f>
        <v>152.9793</v>
      </c>
      <c r="BM188" s="198"/>
      <c r="BN188" s="198"/>
      <c r="BO188" s="198"/>
      <c r="BP188" s="198"/>
      <c r="BQ188" s="198"/>
      <c r="BR188" s="198"/>
      <c r="BS188" s="198">
        <f>250*0.86775786</f>
        <v>216.93946499999998</v>
      </c>
      <c r="BT188" s="198"/>
      <c r="BV188" s="198"/>
      <c r="BW188" s="198"/>
      <c r="BX188" s="198"/>
      <c r="BY188" s="198"/>
      <c r="BZ188" s="198"/>
      <c r="CA188" s="198"/>
      <c r="CB188" s="198"/>
      <c r="CC188" s="198">
        <v>80</v>
      </c>
      <c r="CD188" s="198">
        <v>85</v>
      </c>
      <c r="CE188" s="198"/>
      <c r="CF188" s="198"/>
      <c r="CG188" s="198"/>
      <c r="CH188" s="198"/>
      <c r="CI188" s="198"/>
      <c r="CJ188" s="198"/>
      <c r="CK188" s="198"/>
      <c r="CL188" s="198"/>
      <c r="CM188" s="198"/>
      <c r="CN188" s="198"/>
      <c r="CO188" s="198"/>
      <c r="CP188" s="198"/>
      <c r="CQ188" s="198"/>
      <c r="CR188" s="198"/>
      <c r="CS188" s="198"/>
      <c r="CT188" s="198"/>
      <c r="CU188" s="198"/>
      <c r="CV188" s="198"/>
      <c r="CW188" s="198"/>
      <c r="CX188" s="198"/>
      <c r="CZ188" s="170">
        <f t="shared" si="2"/>
        <v>1204.918765</v>
      </c>
    </row>
    <row r="189" spans="1:104" ht="12.75">
      <c r="A189" s="149" t="s">
        <v>553</v>
      </c>
      <c r="B189" s="123" t="s">
        <v>17</v>
      </c>
      <c r="F189" s="188"/>
      <c r="G189" s="188"/>
      <c r="J189" s="188"/>
      <c r="N189" s="188"/>
      <c r="P189" s="201"/>
      <c r="Q189" s="188"/>
      <c r="R189" s="201"/>
      <c r="S189" s="201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>
        <f>60+30</f>
        <v>90</v>
      </c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V189" s="198"/>
      <c r="BW189" s="198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8"/>
      <c r="CL189" s="198"/>
      <c r="CM189" s="198"/>
      <c r="CN189" s="198"/>
      <c r="CO189" s="198"/>
      <c r="CP189" s="198"/>
      <c r="CQ189" s="198"/>
      <c r="CR189" s="198"/>
      <c r="CS189" s="198"/>
      <c r="CT189" s="198"/>
      <c r="CU189" s="198"/>
      <c r="CV189" s="198"/>
      <c r="CW189" s="198"/>
      <c r="CX189" s="198"/>
      <c r="CZ189" s="170">
        <f t="shared" si="2"/>
        <v>90</v>
      </c>
    </row>
    <row r="190" spans="1:150" ht="12.75">
      <c r="A190" s="149" t="s">
        <v>263</v>
      </c>
      <c r="B190" s="123" t="s">
        <v>21</v>
      </c>
      <c r="D190" s="123">
        <v>50</v>
      </c>
      <c r="F190" s="188"/>
      <c r="G190" s="188"/>
      <c r="J190" s="188"/>
      <c r="N190" s="188"/>
      <c r="P190" s="201"/>
      <c r="Q190" s="188"/>
      <c r="R190" s="201"/>
      <c r="S190" s="201"/>
      <c r="T190" s="198"/>
      <c r="U190" s="198"/>
      <c r="V190" s="198"/>
      <c r="W190" s="198">
        <v>90</v>
      </c>
      <c r="X190" s="198">
        <v>90</v>
      </c>
      <c r="Y190" s="198"/>
      <c r="Z190" s="198">
        <v>80</v>
      </c>
      <c r="AA190" s="198"/>
      <c r="AB190" s="198"/>
      <c r="AC190" s="198">
        <v>60</v>
      </c>
      <c r="AD190" s="198"/>
      <c r="AE190" s="198">
        <v>60</v>
      </c>
      <c r="AF190" s="198">
        <v>60</v>
      </c>
      <c r="AG190" s="198"/>
      <c r="AH190" s="198">
        <v>70</v>
      </c>
      <c r="AI190" s="198"/>
      <c r="AJ190" s="198"/>
      <c r="AK190" s="198"/>
      <c r="AL190" s="198"/>
      <c r="AM190" s="198"/>
      <c r="AN190" s="198"/>
      <c r="AO190" s="198"/>
      <c r="AP190" s="198"/>
      <c r="AQ190" s="198">
        <v>90</v>
      </c>
      <c r="AR190" s="198"/>
      <c r="AS190" s="198">
        <v>90</v>
      </c>
      <c r="AT190" s="198"/>
      <c r="AU190" s="198"/>
      <c r="AV190" s="198">
        <v>60</v>
      </c>
      <c r="AW190" s="198">
        <v>60</v>
      </c>
      <c r="AX190" s="198">
        <v>70</v>
      </c>
      <c r="AY190" s="198"/>
      <c r="AZ190" s="198">
        <v>70</v>
      </c>
      <c r="BA190" s="198"/>
      <c r="BB190" s="198"/>
      <c r="BC190" s="198">
        <v>60</v>
      </c>
      <c r="BD190" s="198">
        <v>80</v>
      </c>
      <c r="BE190" s="198"/>
      <c r="BF190" s="198">
        <v>100</v>
      </c>
      <c r="BG190" s="198">
        <v>100</v>
      </c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>
        <v>210</v>
      </c>
      <c r="BS190" s="198"/>
      <c r="BT190" s="198"/>
      <c r="BU190" s="170">
        <f>(50+50)*0.8602</f>
        <v>86.02</v>
      </c>
      <c r="BV190" s="198"/>
      <c r="BW190" s="198"/>
      <c r="BX190" s="198">
        <v>60</v>
      </c>
      <c r="BY190" s="198"/>
      <c r="BZ190" s="198"/>
      <c r="CA190" s="198"/>
      <c r="CB190" s="198"/>
      <c r="CC190" s="198">
        <v>50</v>
      </c>
      <c r="CD190" s="198">
        <v>85</v>
      </c>
      <c r="CE190" s="198"/>
      <c r="CF190" s="198"/>
      <c r="CG190" s="198"/>
      <c r="CH190" s="198"/>
      <c r="CI190" s="198"/>
      <c r="CJ190" s="198"/>
      <c r="CK190" s="198"/>
      <c r="CL190" s="198"/>
      <c r="CM190" s="198"/>
      <c r="CN190" s="198"/>
      <c r="CO190" s="198"/>
      <c r="CP190" s="198"/>
      <c r="CQ190" s="198"/>
      <c r="CR190" s="198"/>
      <c r="CS190" s="198"/>
      <c r="CT190" s="198"/>
      <c r="CU190" s="198">
        <f>40*649.5/740</f>
        <v>35.108108108108105</v>
      </c>
      <c r="CV190" s="198"/>
      <c r="CW190" s="198"/>
      <c r="CX190" s="198"/>
      <c r="CZ190" s="170">
        <f t="shared" si="2"/>
        <v>1866.128108108108</v>
      </c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  <c r="EH190" s="123"/>
      <c r="EI190" s="123"/>
      <c r="EJ190" s="123"/>
      <c r="EK190" s="123"/>
      <c r="EL190" s="123"/>
      <c r="EM190" s="123"/>
      <c r="EN190" s="123"/>
      <c r="EO190" s="123"/>
      <c r="EP190" s="123"/>
      <c r="EQ190" s="123"/>
      <c r="ER190" s="123"/>
      <c r="ES190" s="123"/>
      <c r="ET190" s="123"/>
    </row>
    <row r="191" spans="1:150" ht="12.75">
      <c r="A191" s="149" t="s">
        <v>158</v>
      </c>
      <c r="B191" s="123" t="s">
        <v>21</v>
      </c>
      <c r="C191" s="123">
        <v>90</v>
      </c>
      <c r="D191" s="123">
        <v>100</v>
      </c>
      <c r="F191" s="188"/>
      <c r="G191" s="188"/>
      <c r="J191" s="188"/>
      <c r="N191" s="188"/>
      <c r="P191" s="201"/>
      <c r="Q191" s="188"/>
      <c r="R191" s="201"/>
      <c r="S191" s="201"/>
      <c r="T191" s="198"/>
      <c r="U191" s="198"/>
      <c r="V191" s="198">
        <v>170</v>
      </c>
      <c r="W191" s="198">
        <v>180</v>
      </c>
      <c r="X191" s="198">
        <v>180</v>
      </c>
      <c r="Y191" s="198"/>
      <c r="Z191" s="198">
        <v>255</v>
      </c>
      <c r="AA191" s="198"/>
      <c r="AB191" s="198"/>
      <c r="AC191" s="198">
        <v>120</v>
      </c>
      <c r="AD191" s="198"/>
      <c r="AE191" s="198">
        <v>110</v>
      </c>
      <c r="AF191" s="198">
        <v>110</v>
      </c>
      <c r="AG191" s="198"/>
      <c r="AH191" s="198">
        <v>120</v>
      </c>
      <c r="AI191" s="198"/>
      <c r="AJ191" s="198"/>
      <c r="AK191" s="198"/>
      <c r="AL191" s="198"/>
      <c r="AM191" s="198"/>
      <c r="AN191" s="198"/>
      <c r="AO191" s="198"/>
      <c r="AP191" s="198"/>
      <c r="AQ191" s="198">
        <v>170</v>
      </c>
      <c r="AR191" s="198"/>
      <c r="AS191" s="198">
        <v>170</v>
      </c>
      <c r="AT191" s="198"/>
      <c r="AU191" s="198"/>
      <c r="AV191" s="198">
        <v>110</v>
      </c>
      <c r="AW191" s="198"/>
      <c r="AX191" s="198">
        <v>130</v>
      </c>
      <c r="AY191" s="198"/>
      <c r="AZ191" s="198">
        <v>130</v>
      </c>
      <c r="BA191" s="198"/>
      <c r="BB191" s="198"/>
      <c r="BC191" s="198">
        <v>120</v>
      </c>
      <c r="BD191" s="198">
        <v>220</v>
      </c>
      <c r="BE191" s="198"/>
      <c r="BF191" s="198">
        <v>200</v>
      </c>
      <c r="BG191" s="198">
        <v>200</v>
      </c>
      <c r="BH191" s="198"/>
      <c r="BI191" s="198"/>
      <c r="BJ191" s="198"/>
      <c r="BK191" s="198">
        <v>45</v>
      </c>
      <c r="BL191" s="198">
        <f>220*84.9885/100</f>
        <v>186.9747</v>
      </c>
      <c r="BM191" s="198"/>
      <c r="BN191" s="198"/>
      <c r="BO191" s="198"/>
      <c r="BP191" s="198"/>
      <c r="BQ191" s="198"/>
      <c r="BR191" s="198">
        <v>360</v>
      </c>
      <c r="BS191" s="198"/>
      <c r="BT191" s="198"/>
      <c r="BU191" s="170">
        <f>(90+90+90+90)*0.8602</f>
        <v>309.67199999999997</v>
      </c>
      <c r="BV191" s="198"/>
      <c r="BW191" s="198"/>
      <c r="BX191" s="198">
        <v>110</v>
      </c>
      <c r="BY191" s="198"/>
      <c r="BZ191" s="198">
        <v>180</v>
      </c>
      <c r="CA191" s="198">
        <v>180</v>
      </c>
      <c r="CB191" s="198"/>
      <c r="CC191" s="198">
        <v>120</v>
      </c>
      <c r="CD191" s="198">
        <v>215</v>
      </c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 s="198"/>
      <c r="CO191" s="198">
        <v>100</v>
      </c>
      <c r="CP191" s="198">
        <v>300</v>
      </c>
      <c r="CQ191" s="198"/>
      <c r="CR191" s="198"/>
      <c r="CS191" s="198"/>
      <c r="CT191" s="198"/>
      <c r="CU191" s="198">
        <f>60*649.5/740</f>
        <v>52.66216216216216</v>
      </c>
      <c r="CV191" s="198"/>
      <c r="CW191" s="198">
        <f>60*649.5/740</f>
        <v>52.66216216216216</v>
      </c>
      <c r="CX191" s="198"/>
      <c r="CZ191" s="170">
        <f t="shared" si="2"/>
        <v>5096.971024324325</v>
      </c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  <c r="EH191" s="123"/>
      <c r="EI191" s="123"/>
      <c r="EJ191" s="123"/>
      <c r="EK191" s="123"/>
      <c r="EL191" s="123"/>
      <c r="EM191" s="123"/>
      <c r="EN191" s="123"/>
      <c r="EO191" s="123"/>
      <c r="EP191" s="123"/>
      <c r="EQ191" s="123"/>
      <c r="ER191" s="123"/>
      <c r="ES191" s="123"/>
      <c r="ET191" s="123"/>
    </row>
    <row r="192" spans="1:151" ht="12.75">
      <c r="A192" s="149" t="s">
        <v>216</v>
      </c>
      <c r="B192" s="123" t="s">
        <v>18</v>
      </c>
      <c r="F192" s="188"/>
      <c r="G192" s="188"/>
      <c r="J192" s="188"/>
      <c r="N192" s="188"/>
      <c r="P192" s="201"/>
      <c r="Q192" s="188"/>
      <c r="R192" s="201"/>
      <c r="S192" s="201">
        <f>340*1.0885</f>
        <v>370.09000000000003</v>
      </c>
      <c r="T192" s="198"/>
      <c r="U192" s="198"/>
      <c r="V192" s="198"/>
      <c r="W192" s="198">
        <v>270</v>
      </c>
      <c r="X192" s="198"/>
      <c r="Y192" s="198"/>
      <c r="Z192" s="198"/>
      <c r="AA192" s="198">
        <v>260</v>
      </c>
      <c r="AB192" s="198"/>
      <c r="AC192" s="198"/>
      <c r="AD192" s="198"/>
      <c r="AE192" s="198"/>
      <c r="AF192" s="198"/>
      <c r="AG192" s="198"/>
      <c r="AH192" s="198">
        <v>120</v>
      </c>
      <c r="AI192" s="198"/>
      <c r="AJ192" s="198"/>
      <c r="AK192" s="198">
        <v>120</v>
      </c>
      <c r="AL192" s="198"/>
      <c r="AM192" s="198"/>
      <c r="AN192" s="198">
        <v>170</v>
      </c>
      <c r="AO192" s="198"/>
      <c r="AP192" s="198">
        <v>170</v>
      </c>
      <c r="AQ192" s="198"/>
      <c r="AR192" s="198">
        <v>170</v>
      </c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>
        <v>135</v>
      </c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Z192" s="170">
        <f t="shared" si="2"/>
        <v>1785.0900000000001</v>
      </c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  <c r="EH192" s="123"/>
      <c r="EI192" s="123"/>
      <c r="EJ192" s="123"/>
      <c r="EK192" s="123"/>
      <c r="EL192" s="123"/>
      <c r="EM192" s="123"/>
      <c r="EN192" s="123"/>
      <c r="EO192" s="123"/>
      <c r="EP192" s="123"/>
      <c r="EQ192" s="123"/>
      <c r="ER192" s="123"/>
      <c r="ES192" s="123"/>
      <c r="ET192" s="123"/>
      <c r="EU192" s="205"/>
    </row>
    <row r="193" spans="1:150" ht="12.75">
      <c r="A193" s="149" t="s">
        <v>313</v>
      </c>
      <c r="B193" s="123" t="s">
        <v>18</v>
      </c>
      <c r="E193" s="123">
        <v>180</v>
      </c>
      <c r="F193" s="188"/>
      <c r="G193" s="188"/>
      <c r="H193" s="123">
        <v>140</v>
      </c>
      <c r="I193" s="123">
        <v>140</v>
      </c>
      <c r="J193" s="188"/>
      <c r="K193" s="123">
        <v>180</v>
      </c>
      <c r="L193" s="123">
        <v>140</v>
      </c>
      <c r="M193" s="123">
        <f>280+120</f>
        <v>400</v>
      </c>
      <c r="N193" s="188"/>
      <c r="O193" s="123">
        <v>200</v>
      </c>
      <c r="P193" s="201"/>
      <c r="Q193" s="188"/>
      <c r="R193" s="201">
        <f>(70+30+80+30)*1.0885</f>
        <v>228.585</v>
      </c>
      <c r="S193" s="201">
        <f>240*1.0885</f>
        <v>261.24</v>
      </c>
      <c r="T193" s="198">
        <v>90</v>
      </c>
      <c r="U193" s="198"/>
      <c r="V193" s="198"/>
      <c r="W193" s="198"/>
      <c r="X193" s="198">
        <v>135</v>
      </c>
      <c r="Y193" s="198">
        <v>80</v>
      </c>
      <c r="Z193" s="198">
        <v>80</v>
      </c>
      <c r="AA193" s="198">
        <v>180</v>
      </c>
      <c r="AB193" s="198"/>
      <c r="AC193" s="198"/>
      <c r="AD193" s="198">
        <v>70</v>
      </c>
      <c r="AE193" s="198"/>
      <c r="AF193" s="198"/>
      <c r="AG193" s="198">
        <v>60</v>
      </c>
      <c r="AH193" s="198">
        <v>70</v>
      </c>
      <c r="AI193" s="198"/>
      <c r="AJ193" s="198"/>
      <c r="AK193" s="198">
        <v>60</v>
      </c>
      <c r="AL193" s="198"/>
      <c r="AM193" s="198"/>
      <c r="AN193" s="198">
        <v>80</v>
      </c>
      <c r="AO193" s="198"/>
      <c r="AP193" s="198">
        <v>80</v>
      </c>
      <c r="AQ193" s="198"/>
      <c r="AR193" s="198">
        <v>80</v>
      </c>
      <c r="AS193" s="198"/>
      <c r="AT193" s="198"/>
      <c r="AU193" s="198">
        <v>80</v>
      </c>
      <c r="AV193" s="198"/>
      <c r="AW193" s="198"/>
      <c r="AX193" s="198"/>
      <c r="AY193" s="198"/>
      <c r="AZ193" s="198"/>
      <c r="BA193" s="198"/>
      <c r="BB193" s="198"/>
      <c r="BC193" s="198"/>
      <c r="BD193" s="198">
        <v>80</v>
      </c>
      <c r="BE193" s="198"/>
      <c r="BF193" s="198"/>
      <c r="BG193" s="198">
        <v>100</v>
      </c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V193" s="198"/>
      <c r="BW193" s="198"/>
      <c r="BX193" s="198"/>
      <c r="BY193" s="198"/>
      <c r="BZ193" s="198"/>
      <c r="CA193" s="198"/>
      <c r="CB193" s="198">
        <v>60</v>
      </c>
      <c r="CC193" s="198"/>
      <c r="CD193" s="198">
        <v>85</v>
      </c>
      <c r="CE193" s="198">
        <v>75</v>
      </c>
      <c r="CF193" s="198"/>
      <c r="CG193" s="198"/>
      <c r="CH193" s="198"/>
      <c r="CI193" s="198"/>
      <c r="CJ193" s="198">
        <v>60</v>
      </c>
      <c r="CK193" s="198">
        <v>90</v>
      </c>
      <c r="CL193" s="198">
        <v>105</v>
      </c>
      <c r="CM193" s="198"/>
      <c r="CN193" s="198"/>
      <c r="CO193" s="198"/>
      <c r="CP193" s="198">
        <v>200</v>
      </c>
      <c r="CQ193" s="198"/>
      <c r="CR193" s="198"/>
      <c r="CS193" s="198"/>
      <c r="CT193" s="198"/>
      <c r="CU193" s="198"/>
      <c r="CV193" s="198"/>
      <c r="CW193" s="198"/>
      <c r="CX193" s="198"/>
      <c r="CZ193" s="170">
        <f t="shared" si="2"/>
        <v>3869.825</v>
      </c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  <c r="EH193" s="123"/>
      <c r="EI193" s="123"/>
      <c r="EJ193" s="123"/>
      <c r="EK193" s="123"/>
      <c r="EL193" s="123"/>
      <c r="EM193" s="123"/>
      <c r="EN193" s="123"/>
      <c r="EO193" s="123"/>
      <c r="EP193" s="123"/>
      <c r="EQ193" s="123"/>
      <c r="ER193" s="123"/>
      <c r="ES193" s="123"/>
      <c r="ET193" s="123"/>
    </row>
    <row r="194" spans="1:151" ht="12.75">
      <c r="A194" s="149" t="s">
        <v>219</v>
      </c>
      <c r="B194" s="123" t="s">
        <v>18</v>
      </c>
      <c r="E194" s="123">
        <v>180</v>
      </c>
      <c r="F194" s="188"/>
      <c r="G194" s="188"/>
      <c r="J194" s="188"/>
      <c r="K194" s="123">
        <v>180</v>
      </c>
      <c r="M194" s="123">
        <f>120+80</f>
        <v>200</v>
      </c>
      <c r="N194" s="188"/>
      <c r="P194" s="201"/>
      <c r="Q194" s="188"/>
      <c r="R194" s="201"/>
      <c r="S194" s="201">
        <f>240*1.0885</f>
        <v>261.24</v>
      </c>
      <c r="T194" s="198"/>
      <c r="U194" s="198"/>
      <c r="V194" s="198"/>
      <c r="W194" s="198">
        <v>90</v>
      </c>
      <c r="X194" s="198"/>
      <c r="Y194" s="198">
        <v>80</v>
      </c>
      <c r="Z194" s="198"/>
      <c r="AA194" s="198">
        <v>180</v>
      </c>
      <c r="AB194" s="198"/>
      <c r="AC194" s="198"/>
      <c r="AD194" s="198"/>
      <c r="AE194" s="198"/>
      <c r="AF194" s="198"/>
      <c r="AG194" s="198"/>
      <c r="AH194" s="198">
        <v>70</v>
      </c>
      <c r="AI194" s="198"/>
      <c r="AJ194" s="198"/>
      <c r="AK194" s="198">
        <v>60</v>
      </c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>
        <v>80</v>
      </c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>
        <v>90</v>
      </c>
      <c r="BF194" s="198"/>
      <c r="BG194" s="198">
        <v>100</v>
      </c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>
        <v>65</v>
      </c>
      <c r="CJ194" s="198"/>
      <c r="CK194" s="198">
        <v>60</v>
      </c>
      <c r="CL194" s="198"/>
      <c r="CM194" s="198"/>
      <c r="CN194" s="198"/>
      <c r="CO194" s="198"/>
      <c r="CP194" s="198"/>
      <c r="CQ194" s="198"/>
      <c r="CR194" s="198"/>
      <c r="CS194" s="198"/>
      <c r="CT194" s="198"/>
      <c r="CU194" s="198"/>
      <c r="CV194" s="198"/>
      <c r="CW194" s="198"/>
      <c r="CX194" s="198"/>
      <c r="CZ194" s="170">
        <f t="shared" si="2"/>
        <v>1696.24</v>
      </c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  <c r="EH194" s="123"/>
      <c r="EI194" s="123"/>
      <c r="EJ194" s="123"/>
      <c r="EK194" s="123"/>
      <c r="EL194" s="123"/>
      <c r="EM194" s="123"/>
      <c r="EN194" s="123"/>
      <c r="EO194" s="123"/>
      <c r="EP194" s="123"/>
      <c r="EQ194" s="123"/>
      <c r="ER194" s="123"/>
      <c r="ES194" s="123"/>
      <c r="ET194" s="123"/>
      <c r="EU194" s="205"/>
    </row>
    <row r="195" spans="1:151" ht="12.75">
      <c r="A195" s="149" t="s">
        <v>247</v>
      </c>
      <c r="B195" s="123" t="s">
        <v>18</v>
      </c>
      <c r="F195" s="188"/>
      <c r="G195" s="188"/>
      <c r="J195" s="188"/>
      <c r="N195" s="188"/>
      <c r="P195" s="201"/>
      <c r="Q195" s="188"/>
      <c r="R195" s="201"/>
      <c r="S195" s="201"/>
      <c r="T195" s="198"/>
      <c r="U195" s="198"/>
      <c r="V195" s="198"/>
      <c r="W195" s="198">
        <v>90</v>
      </c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>
        <v>60</v>
      </c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>
        <v>70</v>
      </c>
      <c r="AY195" s="198"/>
      <c r="AZ195" s="198"/>
      <c r="BA195" s="198"/>
      <c r="BB195" s="198"/>
      <c r="BC195" s="198"/>
      <c r="BD195" s="198"/>
      <c r="BE195" s="198"/>
      <c r="BF195" s="198"/>
      <c r="BG195" s="198">
        <v>100</v>
      </c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>
        <v>60</v>
      </c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Z195" s="170">
        <f t="shared" si="2"/>
        <v>380</v>
      </c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  <c r="EH195" s="123"/>
      <c r="EI195" s="123"/>
      <c r="EJ195" s="123"/>
      <c r="EK195" s="123"/>
      <c r="EL195" s="123"/>
      <c r="EM195" s="123"/>
      <c r="EN195" s="123"/>
      <c r="EO195" s="123"/>
      <c r="EP195" s="123"/>
      <c r="EQ195" s="123"/>
      <c r="ER195" s="123"/>
      <c r="ES195" s="123"/>
      <c r="ET195" s="123"/>
      <c r="EU195" s="205"/>
    </row>
    <row r="196" spans="1:151" ht="12.75">
      <c r="A196" s="149" t="s">
        <v>205</v>
      </c>
      <c r="B196" s="123" t="s">
        <v>18</v>
      </c>
      <c r="C196" s="198"/>
      <c r="D196" s="198"/>
      <c r="E196" s="198">
        <v>240</v>
      </c>
      <c r="F196" s="188"/>
      <c r="G196" s="188"/>
      <c r="H196" s="198">
        <v>190</v>
      </c>
      <c r="I196" s="198">
        <v>190</v>
      </c>
      <c r="J196" s="188"/>
      <c r="K196" s="198">
        <v>315</v>
      </c>
      <c r="L196" s="198"/>
      <c r="M196" s="198">
        <v>180</v>
      </c>
      <c r="N196" s="188"/>
      <c r="O196" s="198">
        <v>300</v>
      </c>
      <c r="P196" s="201"/>
      <c r="Q196" s="188"/>
      <c r="R196" s="201">
        <f>(130+30)*1.0885</f>
        <v>174.16</v>
      </c>
      <c r="S196" s="201">
        <f>340*1.0885</f>
        <v>370.09000000000003</v>
      </c>
      <c r="T196" s="198"/>
      <c r="U196" s="198"/>
      <c r="V196" s="198"/>
      <c r="W196" s="198"/>
      <c r="X196" s="198"/>
      <c r="Y196" s="198"/>
      <c r="Z196" s="198"/>
      <c r="AA196" s="198">
        <v>275</v>
      </c>
      <c r="AB196" s="198"/>
      <c r="AC196" s="198"/>
      <c r="AD196" s="198"/>
      <c r="AE196" s="198"/>
      <c r="AF196" s="198"/>
      <c r="AG196" s="198"/>
      <c r="AH196" s="198">
        <v>120</v>
      </c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>
        <v>200</v>
      </c>
      <c r="AY196" s="198"/>
      <c r="AZ196" s="198"/>
      <c r="BA196" s="198"/>
      <c r="BB196" s="198"/>
      <c r="BC196" s="198"/>
      <c r="BD196" s="198"/>
      <c r="BE196" s="198"/>
      <c r="BF196" s="198"/>
      <c r="BG196" s="198">
        <v>200</v>
      </c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V196" s="198"/>
      <c r="BW196" s="198"/>
      <c r="BX196" s="198"/>
      <c r="BY196" s="198"/>
      <c r="BZ196" s="198"/>
      <c r="CA196" s="198"/>
      <c r="CB196" s="198">
        <v>110</v>
      </c>
      <c r="CC196" s="198"/>
      <c r="CD196" s="198"/>
      <c r="CE196" s="198">
        <v>135</v>
      </c>
      <c r="CF196" s="198"/>
      <c r="CG196" s="198"/>
      <c r="CH196" s="198"/>
      <c r="CI196" s="198"/>
      <c r="CJ196" s="198"/>
      <c r="CK196" s="198"/>
      <c r="CL196" s="198"/>
      <c r="CM196" s="198"/>
      <c r="CN196" s="198"/>
      <c r="CO196" s="198"/>
      <c r="CP196" s="198"/>
      <c r="CQ196" s="198"/>
      <c r="CR196" s="198"/>
      <c r="CS196" s="198"/>
      <c r="CT196" s="198"/>
      <c r="CU196" s="198"/>
      <c r="CV196" s="198"/>
      <c r="CW196" s="198"/>
      <c r="CX196" s="198"/>
      <c r="CZ196" s="170">
        <f t="shared" si="2"/>
        <v>2999.25</v>
      </c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  <c r="EH196" s="123"/>
      <c r="EI196" s="123"/>
      <c r="EJ196" s="123"/>
      <c r="EK196" s="123"/>
      <c r="EL196" s="123"/>
      <c r="EM196" s="123"/>
      <c r="EN196" s="123"/>
      <c r="EO196" s="123"/>
      <c r="EP196" s="123"/>
      <c r="EQ196" s="123"/>
      <c r="ER196" s="123"/>
      <c r="ES196" s="123"/>
      <c r="ET196" s="123"/>
      <c r="EU196" s="205"/>
    </row>
    <row r="197" spans="1:104" ht="12.75">
      <c r="A197" s="149" t="s">
        <v>876</v>
      </c>
      <c r="B197" s="123" t="s">
        <v>21</v>
      </c>
      <c r="F197" s="188"/>
      <c r="G197" s="188"/>
      <c r="J197" s="188"/>
      <c r="N197" s="188"/>
      <c r="P197" s="201"/>
      <c r="Q197" s="188"/>
      <c r="R197" s="201"/>
      <c r="S197" s="201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V197" s="198"/>
      <c r="BW197" s="198"/>
      <c r="BX197" s="198"/>
      <c r="BY197" s="198"/>
      <c r="BZ197" s="198"/>
      <c r="CA197" s="198"/>
      <c r="CB197" s="198"/>
      <c r="CC197" s="198"/>
      <c r="CD197" s="198">
        <v>135</v>
      </c>
      <c r="CE197" s="198"/>
      <c r="CF197" s="198"/>
      <c r="CG197" s="198"/>
      <c r="CH197" s="198"/>
      <c r="CI197" s="198"/>
      <c r="CJ197" s="198"/>
      <c r="CK197" s="198"/>
      <c r="CL197" s="198"/>
      <c r="CM197" s="198"/>
      <c r="CN197" s="198"/>
      <c r="CO197" s="198"/>
      <c r="CP197" s="198"/>
      <c r="CQ197" s="198"/>
      <c r="CR197" s="198"/>
      <c r="CS197" s="198"/>
      <c r="CT197" s="198"/>
      <c r="CU197" s="198"/>
      <c r="CV197" s="198"/>
      <c r="CW197" s="198"/>
      <c r="CX197" s="198"/>
      <c r="CZ197" s="170">
        <f t="shared" si="2"/>
        <v>135</v>
      </c>
    </row>
    <row r="198" spans="1:104" ht="12.75">
      <c r="A198" s="149" t="s">
        <v>877</v>
      </c>
      <c r="B198" s="123" t="s">
        <v>21</v>
      </c>
      <c r="F198" s="188"/>
      <c r="G198" s="188"/>
      <c r="J198" s="188"/>
      <c r="N198" s="188"/>
      <c r="P198" s="201"/>
      <c r="Q198" s="188"/>
      <c r="R198" s="201"/>
      <c r="S198" s="201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V198" s="198"/>
      <c r="BW198" s="198"/>
      <c r="BX198" s="198"/>
      <c r="BY198" s="198"/>
      <c r="BZ198" s="198"/>
      <c r="CA198" s="198"/>
      <c r="CB198" s="198"/>
      <c r="CC198" s="198"/>
      <c r="CD198" s="198">
        <v>85</v>
      </c>
      <c r="CE198" s="198"/>
      <c r="CF198" s="198"/>
      <c r="CG198" s="198"/>
      <c r="CH198" s="198"/>
      <c r="CI198" s="198"/>
      <c r="CJ198" s="198"/>
      <c r="CK198" s="198"/>
      <c r="CL198" s="198"/>
      <c r="CM198" s="198"/>
      <c r="CN198" s="198"/>
      <c r="CO198" s="198"/>
      <c r="CP198" s="198"/>
      <c r="CQ198" s="198"/>
      <c r="CR198" s="198"/>
      <c r="CS198" s="198"/>
      <c r="CT198" s="198"/>
      <c r="CU198" s="198"/>
      <c r="CV198" s="198"/>
      <c r="CW198" s="198"/>
      <c r="CX198" s="198"/>
      <c r="CZ198" s="170">
        <f>SUM(C198:CY198)</f>
        <v>85</v>
      </c>
    </row>
    <row r="199" spans="1:151" ht="12.75">
      <c r="A199" s="149" t="s">
        <v>87</v>
      </c>
      <c r="B199" s="123" t="s">
        <v>18</v>
      </c>
      <c r="F199" s="188"/>
      <c r="G199" s="188"/>
      <c r="J199" s="188"/>
      <c r="N199" s="188"/>
      <c r="P199" s="201"/>
      <c r="Q199" s="188"/>
      <c r="R199" s="201"/>
      <c r="S199" s="201"/>
      <c r="T199" s="198"/>
      <c r="U199" s="198"/>
      <c r="V199" s="198">
        <v>170</v>
      </c>
      <c r="W199" s="198">
        <v>180</v>
      </c>
      <c r="X199" s="198">
        <v>180</v>
      </c>
      <c r="Y199" s="198">
        <v>170</v>
      </c>
      <c r="Z199" s="198">
        <v>170</v>
      </c>
      <c r="AA199" s="198"/>
      <c r="AB199" s="198"/>
      <c r="AC199" s="198"/>
      <c r="AD199" s="198"/>
      <c r="AE199" s="198"/>
      <c r="AF199" s="198"/>
      <c r="AG199" s="198">
        <v>120</v>
      </c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>
        <v>240</v>
      </c>
      <c r="AT199" s="198"/>
      <c r="AU199" s="198"/>
      <c r="AV199" s="198"/>
      <c r="AW199" s="198">
        <v>110</v>
      </c>
      <c r="AX199" s="198"/>
      <c r="AY199" s="198"/>
      <c r="AZ199" s="198"/>
      <c r="BA199" s="198"/>
      <c r="BB199" s="198"/>
      <c r="BC199" s="198"/>
      <c r="BD199" s="198"/>
      <c r="BE199" s="198"/>
      <c r="BF199" s="198">
        <v>200</v>
      </c>
      <c r="BG199" s="198">
        <v>200</v>
      </c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V199" s="198"/>
      <c r="BW199" s="198"/>
      <c r="BX199" s="198"/>
      <c r="BY199" s="198">
        <v>480</v>
      </c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 s="198"/>
      <c r="CO199" s="198"/>
      <c r="CP199" s="198"/>
      <c r="CQ199" s="198"/>
      <c r="CR199" s="198"/>
      <c r="CS199" s="198"/>
      <c r="CT199" s="198"/>
      <c r="CU199" s="198"/>
      <c r="CV199" s="198"/>
      <c r="CW199" s="198"/>
      <c r="CX199" s="198"/>
      <c r="CZ199" s="170">
        <f t="shared" si="2"/>
        <v>2220</v>
      </c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205"/>
    </row>
    <row r="200" spans="1:104" ht="12.75">
      <c r="A200" s="149" t="s">
        <v>878</v>
      </c>
      <c r="B200" s="123" t="s">
        <v>19</v>
      </c>
      <c r="F200" s="188"/>
      <c r="G200" s="188"/>
      <c r="J200" s="188"/>
      <c r="N200" s="188"/>
      <c r="P200" s="201"/>
      <c r="Q200" s="188"/>
      <c r="R200" s="201"/>
      <c r="S200" s="201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V200" s="198"/>
      <c r="BW200" s="198"/>
      <c r="BX200" s="198"/>
      <c r="BY200" s="198"/>
      <c r="BZ200" s="198"/>
      <c r="CA200" s="198"/>
      <c r="CB200" s="198"/>
      <c r="CC200" s="198"/>
      <c r="CD200" s="198">
        <v>85</v>
      </c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Z200" s="170">
        <f t="shared" si="2"/>
        <v>85</v>
      </c>
    </row>
    <row r="201" spans="1:104" ht="12.75">
      <c r="A201" s="149" t="s">
        <v>98</v>
      </c>
      <c r="B201" s="123" t="s">
        <v>19</v>
      </c>
      <c r="F201" s="188"/>
      <c r="G201" s="188"/>
      <c r="J201" s="188"/>
      <c r="N201" s="188"/>
      <c r="P201" s="201"/>
      <c r="Q201" s="188"/>
      <c r="R201" s="201"/>
      <c r="S201" s="201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>
        <v>240</v>
      </c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Z201" s="170">
        <f t="shared" si="2"/>
        <v>240</v>
      </c>
    </row>
    <row r="202" spans="1:104" ht="12.75">
      <c r="A202" s="149" t="s">
        <v>837</v>
      </c>
      <c r="B202" s="123" t="s">
        <v>19</v>
      </c>
      <c r="F202" s="188"/>
      <c r="G202" s="188"/>
      <c r="J202" s="188"/>
      <c r="N202" s="188"/>
      <c r="P202" s="201"/>
      <c r="Q202" s="188"/>
      <c r="R202" s="201"/>
      <c r="S202" s="201"/>
      <c r="T202" s="198"/>
      <c r="U202" s="198"/>
      <c r="V202" s="198"/>
      <c r="W202" s="198"/>
      <c r="X202" s="198"/>
      <c r="Y202" s="198"/>
      <c r="Z202" s="198"/>
      <c r="AA202" s="198">
        <v>225</v>
      </c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V202" s="198"/>
      <c r="BW202" s="198"/>
      <c r="BX202" s="198"/>
      <c r="BY202" s="198"/>
      <c r="BZ202" s="198"/>
      <c r="CA202" s="198"/>
      <c r="CB202" s="198">
        <v>110</v>
      </c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 s="198"/>
      <c r="CO202" s="198"/>
      <c r="CP202" s="198">
        <v>320</v>
      </c>
      <c r="CQ202" s="198"/>
      <c r="CR202" s="198"/>
      <c r="CS202" s="198"/>
      <c r="CT202" s="198"/>
      <c r="CU202" s="198"/>
      <c r="CV202" s="198"/>
      <c r="CW202" s="198"/>
      <c r="CX202" s="198"/>
      <c r="CZ202" s="170">
        <f>SUM(C202:CY202)</f>
        <v>655</v>
      </c>
    </row>
    <row r="203" spans="1:104" ht="12.75">
      <c r="A203" s="149" t="s">
        <v>99</v>
      </c>
      <c r="B203" s="123" t="s">
        <v>19</v>
      </c>
      <c r="F203" s="188"/>
      <c r="G203" s="188"/>
      <c r="J203" s="188"/>
      <c r="N203" s="188"/>
      <c r="P203" s="201"/>
      <c r="Q203" s="188"/>
      <c r="R203" s="201"/>
      <c r="S203" s="201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>
        <v>240</v>
      </c>
      <c r="AP203" s="198"/>
      <c r="AQ203" s="198"/>
      <c r="AR203" s="198"/>
      <c r="AS203" s="198"/>
      <c r="AT203" s="198"/>
      <c r="AU203" s="198"/>
      <c r="AV203" s="198"/>
      <c r="AW203" s="198">
        <v>165</v>
      </c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 s="198"/>
      <c r="CO203" s="198"/>
      <c r="CP203" s="198"/>
      <c r="CQ203" s="198"/>
      <c r="CR203" s="198"/>
      <c r="CS203" s="198"/>
      <c r="CT203" s="198"/>
      <c r="CU203" s="198"/>
      <c r="CV203" s="198"/>
      <c r="CW203" s="198"/>
      <c r="CX203" s="198"/>
      <c r="CZ203" s="170">
        <f t="shared" si="2"/>
        <v>405</v>
      </c>
    </row>
    <row r="204" spans="1:104" ht="12.75">
      <c r="A204" s="149" t="s">
        <v>100</v>
      </c>
      <c r="B204" s="123" t="s">
        <v>19</v>
      </c>
      <c r="F204" s="188">
        <v>60</v>
      </c>
      <c r="G204" s="188">
        <v>60</v>
      </c>
      <c r="J204" s="188">
        <v>60</v>
      </c>
      <c r="N204" s="188"/>
      <c r="P204" s="201"/>
      <c r="Q204" s="188"/>
      <c r="R204" s="201"/>
      <c r="S204" s="201"/>
      <c r="T204" s="198">
        <v>110</v>
      </c>
      <c r="U204" s="198"/>
      <c r="V204" s="198"/>
      <c r="W204" s="198"/>
      <c r="X204" s="198">
        <v>200</v>
      </c>
      <c r="Y204" s="198"/>
      <c r="Z204" s="198"/>
      <c r="AA204" s="198">
        <v>260</v>
      </c>
      <c r="AB204" s="198"/>
      <c r="AC204" s="198"/>
      <c r="AD204" s="198"/>
      <c r="AE204" s="198"/>
      <c r="AF204" s="198"/>
      <c r="AG204" s="198"/>
      <c r="AH204" s="198"/>
      <c r="AI204" s="198">
        <v>250</v>
      </c>
      <c r="AJ204" s="198"/>
      <c r="AK204" s="198"/>
      <c r="AL204" s="198"/>
      <c r="AM204" s="198">
        <v>250</v>
      </c>
      <c r="AN204" s="198"/>
      <c r="AO204" s="198">
        <v>170</v>
      </c>
      <c r="AP204" s="198"/>
      <c r="AQ204" s="198">
        <v>170</v>
      </c>
      <c r="AR204" s="198"/>
      <c r="AS204" s="198"/>
      <c r="AT204" s="198"/>
      <c r="AU204" s="198"/>
      <c r="AV204" s="198"/>
      <c r="AW204" s="198">
        <v>110</v>
      </c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>
        <v>200</v>
      </c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V204" s="198"/>
      <c r="BW204" s="198"/>
      <c r="BX204" s="198"/>
      <c r="BY204" s="198"/>
      <c r="BZ204" s="198"/>
      <c r="CA204" s="198"/>
      <c r="CB204" s="198">
        <v>110</v>
      </c>
      <c r="CC204" s="198"/>
      <c r="CD204" s="198">
        <v>135</v>
      </c>
      <c r="CE204" s="198">
        <v>135</v>
      </c>
      <c r="CF204" s="198"/>
      <c r="CG204" s="198"/>
      <c r="CH204" s="198"/>
      <c r="CI204" s="198"/>
      <c r="CJ204" s="198"/>
      <c r="CK204" s="198"/>
      <c r="CL204" s="198"/>
      <c r="CM204" s="198"/>
      <c r="CN204" s="198"/>
      <c r="CO204" s="198"/>
      <c r="CP204" s="198"/>
      <c r="CQ204" s="198"/>
      <c r="CR204" s="198">
        <v>65</v>
      </c>
      <c r="CS204" s="198"/>
      <c r="CT204" s="198">
        <v>60</v>
      </c>
      <c r="CU204" s="198"/>
      <c r="CV204" s="198"/>
      <c r="CW204" s="198"/>
      <c r="CX204" s="198"/>
      <c r="CZ204" s="170">
        <f t="shared" si="2"/>
        <v>2405</v>
      </c>
    </row>
    <row r="205" spans="1:104" ht="12.75">
      <c r="A205" s="149" t="s">
        <v>227</v>
      </c>
      <c r="B205" s="123" t="s">
        <v>17</v>
      </c>
      <c r="F205" s="188"/>
      <c r="G205" s="188"/>
      <c r="J205" s="188"/>
      <c r="N205" s="188"/>
      <c r="P205" s="201"/>
      <c r="Q205" s="188"/>
      <c r="R205" s="201"/>
      <c r="S205" s="201"/>
      <c r="T205" s="198"/>
      <c r="U205" s="198"/>
      <c r="V205" s="198"/>
      <c r="W205" s="198"/>
      <c r="X205" s="198"/>
      <c r="Y205" s="198">
        <v>170</v>
      </c>
      <c r="Z205" s="198">
        <v>170</v>
      </c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>
        <v>100</v>
      </c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>
        <v>195</v>
      </c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>
        <f>(220+25+25)*84.9885/100</f>
        <v>229.46895</v>
      </c>
      <c r="BM205" s="198"/>
      <c r="BN205" s="198"/>
      <c r="BO205" s="198"/>
      <c r="BP205" s="198"/>
      <c r="BQ205" s="198"/>
      <c r="BR205" s="198"/>
      <c r="BS205" s="198"/>
      <c r="BT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8"/>
      <c r="CM205" s="198"/>
      <c r="CN205" s="198"/>
      <c r="CO205" s="198"/>
      <c r="CP205" s="198"/>
      <c r="CQ205" s="198"/>
      <c r="CR205" s="198"/>
      <c r="CS205" s="198"/>
      <c r="CT205" s="198"/>
      <c r="CU205" s="198"/>
      <c r="CV205" s="198"/>
      <c r="CW205" s="198"/>
      <c r="CX205" s="198"/>
      <c r="CZ205" s="170">
        <f t="shared" si="2"/>
        <v>864.46895</v>
      </c>
    </row>
    <row r="206" spans="1:104" ht="12.75">
      <c r="A206" s="149" t="s">
        <v>554</v>
      </c>
      <c r="B206" s="123" t="s">
        <v>21</v>
      </c>
      <c r="F206" s="188"/>
      <c r="G206" s="188"/>
      <c r="J206" s="188"/>
      <c r="N206" s="188"/>
      <c r="P206" s="201"/>
      <c r="Q206" s="188"/>
      <c r="R206" s="201"/>
      <c r="S206" s="201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>
        <f>60+30</f>
        <v>90</v>
      </c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Z206" s="170">
        <f t="shared" si="2"/>
        <v>90</v>
      </c>
    </row>
    <row r="207" spans="1:104" ht="12.75">
      <c r="A207" s="149" t="s">
        <v>555</v>
      </c>
      <c r="B207" s="123" t="s">
        <v>21</v>
      </c>
      <c r="F207" s="188"/>
      <c r="G207" s="188"/>
      <c r="J207" s="188"/>
      <c r="N207" s="188"/>
      <c r="P207" s="201"/>
      <c r="Q207" s="188"/>
      <c r="R207" s="201"/>
      <c r="S207" s="201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>
        <f>60+30</f>
        <v>90</v>
      </c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Z207" s="170">
        <f t="shared" si="2"/>
        <v>90</v>
      </c>
    </row>
    <row r="208" spans="1:151" ht="12.75">
      <c r="A208" s="149" t="s">
        <v>88</v>
      </c>
      <c r="B208" s="123" t="s">
        <v>18</v>
      </c>
      <c r="F208" s="188"/>
      <c r="G208" s="188"/>
      <c r="J208" s="188"/>
      <c r="N208" s="188"/>
      <c r="P208" s="201"/>
      <c r="Q208" s="188"/>
      <c r="R208" s="201"/>
      <c r="S208" s="201"/>
      <c r="T208" s="198"/>
      <c r="U208" s="198"/>
      <c r="V208" s="198"/>
      <c r="W208" s="198"/>
      <c r="X208" s="198"/>
      <c r="Y208" s="198">
        <v>255</v>
      </c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>
        <v>170</v>
      </c>
      <c r="AP208" s="198"/>
      <c r="AQ208" s="198"/>
      <c r="AR208" s="198"/>
      <c r="AS208" s="198">
        <v>170</v>
      </c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V208" s="198"/>
      <c r="BW208" s="198"/>
      <c r="BX208" s="198"/>
      <c r="BY208" s="198"/>
      <c r="BZ208" s="198"/>
      <c r="CA208" s="198"/>
      <c r="CB208" s="198"/>
      <c r="CC208" s="198"/>
      <c r="CD208" s="198"/>
      <c r="CE208" s="198"/>
      <c r="CF208" s="198"/>
      <c r="CG208" s="198"/>
      <c r="CH208" s="198"/>
      <c r="CI208" s="198"/>
      <c r="CJ208" s="198"/>
      <c r="CK208" s="198"/>
      <c r="CL208" s="198"/>
      <c r="CM208" s="198"/>
      <c r="CN208" s="198"/>
      <c r="CO208" s="198"/>
      <c r="CP208" s="198"/>
      <c r="CQ208" s="198"/>
      <c r="CR208" s="198"/>
      <c r="CS208" s="198"/>
      <c r="CT208" s="198"/>
      <c r="CU208" s="198"/>
      <c r="CV208" s="198"/>
      <c r="CW208" s="198"/>
      <c r="CX208" s="198"/>
      <c r="CZ208" s="170">
        <f t="shared" si="2"/>
        <v>595</v>
      </c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  <c r="DW208" s="123"/>
      <c r="DX208" s="123"/>
      <c r="DY208" s="123"/>
      <c r="DZ208" s="123"/>
      <c r="EA208" s="123"/>
      <c r="EB208" s="123"/>
      <c r="EC208" s="123"/>
      <c r="ED208" s="123"/>
      <c r="EE208" s="123"/>
      <c r="EF208" s="123"/>
      <c r="EG208" s="123"/>
      <c r="EH208" s="123"/>
      <c r="EI208" s="123"/>
      <c r="EJ208" s="123"/>
      <c r="EK208" s="123"/>
      <c r="EL208" s="123"/>
      <c r="EM208" s="123"/>
      <c r="EN208" s="123"/>
      <c r="EO208" s="123"/>
      <c r="EP208" s="123"/>
      <c r="EQ208" s="123"/>
      <c r="ER208" s="123"/>
      <c r="ES208" s="123"/>
      <c r="ET208" s="123"/>
      <c r="EU208" s="205"/>
    </row>
    <row r="209" spans="1:151" ht="12.75">
      <c r="A209" s="149" t="s">
        <v>89</v>
      </c>
      <c r="B209" s="123" t="s">
        <v>18</v>
      </c>
      <c r="F209" s="188"/>
      <c r="G209" s="188"/>
      <c r="J209" s="188"/>
      <c r="N209" s="188"/>
      <c r="P209" s="201"/>
      <c r="Q209" s="188"/>
      <c r="R209" s="201"/>
      <c r="S209" s="201"/>
      <c r="T209" s="198"/>
      <c r="U209" s="198"/>
      <c r="V209" s="198"/>
      <c r="W209" s="198"/>
      <c r="X209" s="198"/>
      <c r="Y209" s="198">
        <v>255</v>
      </c>
      <c r="Z209" s="198"/>
      <c r="AA209" s="198">
        <v>95</v>
      </c>
      <c r="AB209" s="198"/>
      <c r="AC209" s="198"/>
      <c r="AD209" s="198"/>
      <c r="AE209" s="198"/>
      <c r="AF209" s="198"/>
      <c r="AG209" s="198">
        <v>120</v>
      </c>
      <c r="AH209" s="198"/>
      <c r="AI209" s="198"/>
      <c r="AJ209" s="198"/>
      <c r="AK209" s="198"/>
      <c r="AL209" s="198"/>
      <c r="AM209" s="198"/>
      <c r="AN209" s="198"/>
      <c r="AO209" s="198">
        <v>170</v>
      </c>
      <c r="AP209" s="198"/>
      <c r="AQ209" s="198"/>
      <c r="AR209" s="198"/>
      <c r="AS209" s="198">
        <v>170</v>
      </c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V209" s="198"/>
      <c r="BW209" s="198"/>
      <c r="BX209" s="198"/>
      <c r="BY209" s="198"/>
      <c r="BZ209" s="198"/>
      <c r="CA209" s="198"/>
      <c r="CB209" s="198"/>
      <c r="CC209" s="198"/>
      <c r="CD209" s="198"/>
      <c r="CE209" s="198"/>
      <c r="CF209" s="198"/>
      <c r="CG209" s="198"/>
      <c r="CH209" s="198"/>
      <c r="CI209" s="198"/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Z209" s="170">
        <f t="shared" si="2"/>
        <v>810</v>
      </c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  <c r="DW209" s="123"/>
      <c r="DX209" s="123"/>
      <c r="DY209" s="123"/>
      <c r="DZ209" s="123"/>
      <c r="EA209" s="123"/>
      <c r="EB209" s="123"/>
      <c r="EC209" s="123"/>
      <c r="ED209" s="123"/>
      <c r="EE209" s="123"/>
      <c r="EF209" s="123"/>
      <c r="EG209" s="123"/>
      <c r="EH209" s="123"/>
      <c r="EI209" s="123"/>
      <c r="EJ209" s="123"/>
      <c r="EK209" s="123"/>
      <c r="EL209" s="123"/>
      <c r="EM209" s="123"/>
      <c r="EN209" s="123"/>
      <c r="EO209" s="123"/>
      <c r="EP209" s="123"/>
      <c r="EQ209" s="123"/>
      <c r="ER209" s="123"/>
      <c r="ES209" s="123"/>
      <c r="ET209" s="123"/>
      <c r="EU209" s="205"/>
    </row>
    <row r="210" spans="1:151" ht="12.75">
      <c r="A210" s="149" t="s">
        <v>90</v>
      </c>
      <c r="B210" s="123" t="s">
        <v>18</v>
      </c>
      <c r="F210" s="188"/>
      <c r="G210" s="188"/>
      <c r="J210" s="188"/>
      <c r="N210" s="188"/>
      <c r="P210" s="201"/>
      <c r="Q210" s="188"/>
      <c r="R210" s="201"/>
      <c r="S210" s="201"/>
      <c r="T210" s="198"/>
      <c r="U210" s="198"/>
      <c r="V210" s="198"/>
      <c r="W210" s="198"/>
      <c r="X210" s="198"/>
      <c r="Y210" s="198">
        <v>80</v>
      </c>
      <c r="Z210" s="198"/>
      <c r="AA210" s="198">
        <v>180</v>
      </c>
      <c r="AB210" s="198"/>
      <c r="AC210" s="198"/>
      <c r="AD210" s="198"/>
      <c r="AE210" s="198"/>
      <c r="AF210" s="198"/>
      <c r="AG210" s="198">
        <v>60</v>
      </c>
      <c r="AH210" s="198">
        <v>70</v>
      </c>
      <c r="AI210" s="198"/>
      <c r="AJ210" s="198"/>
      <c r="AK210" s="198">
        <v>90</v>
      </c>
      <c r="AL210" s="198"/>
      <c r="AM210" s="198"/>
      <c r="AN210" s="198"/>
      <c r="AO210" s="198">
        <v>90</v>
      </c>
      <c r="AP210" s="198"/>
      <c r="AQ210" s="198">
        <v>90</v>
      </c>
      <c r="AR210" s="198"/>
      <c r="AS210" s="198">
        <v>90</v>
      </c>
      <c r="AT210" s="198"/>
      <c r="AU210" s="198">
        <v>80</v>
      </c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V210" s="198"/>
      <c r="BW210" s="198"/>
      <c r="BX210" s="198"/>
      <c r="BY210" s="198"/>
      <c r="BZ210" s="198"/>
      <c r="CA210" s="198"/>
      <c r="CB210" s="198"/>
      <c r="CC210" s="198"/>
      <c r="CD210" s="198">
        <v>85</v>
      </c>
      <c r="CE210" s="198"/>
      <c r="CF210" s="198"/>
      <c r="CG210" s="198"/>
      <c r="CH210" s="198"/>
      <c r="CI210" s="198"/>
      <c r="CJ210" s="198"/>
      <c r="CK210" s="198"/>
      <c r="CL210" s="198"/>
      <c r="CM210" s="198"/>
      <c r="CN210" s="198"/>
      <c r="CO210" s="198"/>
      <c r="CP210" s="198"/>
      <c r="CQ210" s="198"/>
      <c r="CR210" s="198"/>
      <c r="CS210" s="198"/>
      <c r="CT210" s="198"/>
      <c r="CU210" s="198"/>
      <c r="CV210" s="198"/>
      <c r="CW210" s="198"/>
      <c r="CX210" s="198"/>
      <c r="CZ210" s="170">
        <f t="shared" si="2"/>
        <v>915</v>
      </c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  <c r="DW210" s="123"/>
      <c r="DX210" s="123"/>
      <c r="DY210" s="123"/>
      <c r="DZ210" s="123"/>
      <c r="EA210" s="123"/>
      <c r="EB210" s="123"/>
      <c r="EC210" s="123"/>
      <c r="ED210" s="123"/>
      <c r="EE210" s="123"/>
      <c r="EF210" s="123"/>
      <c r="EG210" s="123"/>
      <c r="EH210" s="123"/>
      <c r="EI210" s="123"/>
      <c r="EJ210" s="123"/>
      <c r="EK210" s="123"/>
      <c r="EL210" s="123"/>
      <c r="EM210" s="123"/>
      <c r="EN210" s="123"/>
      <c r="EO210" s="123"/>
      <c r="EP210" s="123"/>
      <c r="EQ210" s="123"/>
      <c r="ER210" s="123"/>
      <c r="ES210" s="123"/>
      <c r="ET210" s="123"/>
      <c r="EU210" s="205"/>
    </row>
    <row r="211" spans="1:104" ht="12.75">
      <c r="A211" s="149" t="s">
        <v>212</v>
      </c>
      <c r="B211" s="123" t="s">
        <v>18</v>
      </c>
      <c r="F211" s="188"/>
      <c r="G211" s="188"/>
      <c r="J211" s="188"/>
      <c r="N211" s="188"/>
      <c r="P211" s="201"/>
      <c r="Q211" s="188"/>
      <c r="R211" s="201"/>
      <c r="S211" s="201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V211" s="198"/>
      <c r="BW211" s="198"/>
      <c r="BX211" s="198"/>
      <c r="BY211" s="198"/>
      <c r="BZ211" s="198"/>
      <c r="CA211" s="198"/>
      <c r="CB211" s="198"/>
      <c r="CC211" s="198"/>
      <c r="CD211" s="198"/>
      <c r="CE211" s="198"/>
      <c r="CF211" s="198"/>
      <c r="CG211" s="198"/>
      <c r="CH211" s="198"/>
      <c r="CI211" s="198"/>
      <c r="CJ211" s="198"/>
      <c r="CK211" s="198"/>
      <c r="CL211" s="198"/>
      <c r="CM211" s="198"/>
      <c r="CN211" s="198"/>
      <c r="CO211" s="198"/>
      <c r="CP211" s="198"/>
      <c r="CQ211" s="198"/>
      <c r="CR211" s="198"/>
      <c r="CS211" s="198"/>
      <c r="CT211" s="198"/>
      <c r="CU211" s="198"/>
      <c r="CV211" s="198"/>
      <c r="CW211" s="198"/>
      <c r="CX211" s="198"/>
      <c r="CZ211" s="170">
        <f t="shared" si="2"/>
        <v>0</v>
      </c>
    </row>
    <row r="212" spans="1:104" ht="12.75">
      <c r="A212" s="149" t="s">
        <v>192</v>
      </c>
      <c r="B212" s="123" t="s">
        <v>18</v>
      </c>
      <c r="C212" s="170"/>
      <c r="D212" s="170"/>
      <c r="E212" s="170"/>
      <c r="F212" s="188"/>
      <c r="G212" s="188"/>
      <c r="H212" s="170"/>
      <c r="I212" s="170"/>
      <c r="J212" s="188"/>
      <c r="K212" s="170"/>
      <c r="L212" s="170"/>
      <c r="M212" s="170"/>
      <c r="N212" s="188"/>
      <c r="O212" s="170"/>
      <c r="P212" s="201"/>
      <c r="Q212" s="188"/>
      <c r="R212" s="201"/>
      <c r="S212" s="201">
        <f>340*1.0885</f>
        <v>370.09000000000003</v>
      </c>
      <c r="T212" s="198"/>
      <c r="U212" s="198"/>
      <c r="V212" s="198"/>
      <c r="W212" s="198"/>
      <c r="X212" s="198">
        <v>180</v>
      </c>
      <c r="Y212" s="198"/>
      <c r="Z212" s="198">
        <v>170</v>
      </c>
      <c r="AA212" s="198">
        <v>275</v>
      </c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>
        <v>200</v>
      </c>
      <c r="BG212" s="198">
        <v>200</v>
      </c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V212" s="198"/>
      <c r="BW212" s="198"/>
      <c r="BX212" s="198"/>
      <c r="BY212" s="198"/>
      <c r="BZ212" s="198"/>
      <c r="CA212" s="198"/>
      <c r="CB212" s="198">
        <v>110</v>
      </c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 s="198"/>
      <c r="CO212" s="198"/>
      <c r="CP212" s="198"/>
      <c r="CQ212" s="198"/>
      <c r="CR212" s="198"/>
      <c r="CS212" s="198"/>
      <c r="CT212" s="198"/>
      <c r="CU212" s="198"/>
      <c r="CV212" s="198"/>
      <c r="CW212" s="198"/>
      <c r="CX212" s="198"/>
      <c r="CZ212" s="170">
        <f t="shared" si="2"/>
        <v>1505.0900000000001</v>
      </c>
    </row>
    <row r="213" spans="1:104" ht="12.75">
      <c r="A213" s="149" t="s">
        <v>193</v>
      </c>
      <c r="B213" s="123" t="s">
        <v>18</v>
      </c>
      <c r="F213" s="188"/>
      <c r="G213" s="188"/>
      <c r="J213" s="188"/>
      <c r="N213" s="188"/>
      <c r="P213" s="201"/>
      <c r="Q213" s="188"/>
      <c r="R213" s="201"/>
      <c r="S213" s="201">
        <f>240*1.0885</f>
        <v>261.24</v>
      </c>
      <c r="T213" s="198">
        <v>110</v>
      </c>
      <c r="U213" s="198">
        <v>170</v>
      </c>
      <c r="V213" s="198"/>
      <c r="W213" s="198"/>
      <c r="X213" s="198">
        <v>200</v>
      </c>
      <c r="Y213" s="198">
        <v>170</v>
      </c>
      <c r="Z213" s="198"/>
      <c r="AA213" s="198">
        <v>260</v>
      </c>
      <c r="AB213" s="198"/>
      <c r="AC213" s="198"/>
      <c r="AD213" s="198">
        <v>130</v>
      </c>
      <c r="AE213" s="198"/>
      <c r="AF213" s="198"/>
      <c r="AG213" s="198"/>
      <c r="AH213" s="198"/>
      <c r="AI213" s="198">
        <v>250</v>
      </c>
      <c r="AJ213" s="198"/>
      <c r="AK213" s="198"/>
      <c r="AL213" s="198"/>
      <c r="AM213" s="198">
        <v>250</v>
      </c>
      <c r="AN213" s="198"/>
      <c r="AO213" s="198"/>
      <c r="AP213" s="198"/>
      <c r="AQ213" s="198"/>
      <c r="AR213" s="198"/>
      <c r="AS213" s="198"/>
      <c r="AT213" s="198">
        <v>310</v>
      </c>
      <c r="AU213" s="198">
        <v>160</v>
      </c>
      <c r="AV213" s="198"/>
      <c r="AW213" s="198"/>
      <c r="AX213" s="198"/>
      <c r="AY213" s="198"/>
      <c r="AZ213" s="198"/>
      <c r="BA213" s="198"/>
      <c r="BB213" s="198"/>
      <c r="BC213" s="198">
        <v>120</v>
      </c>
      <c r="BD213" s="198">
        <v>150</v>
      </c>
      <c r="BE213" s="198"/>
      <c r="BF213" s="198"/>
      <c r="BG213" s="198">
        <v>120</v>
      </c>
      <c r="BH213" s="198">
        <v>200</v>
      </c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V213" s="198"/>
      <c r="BW213" s="198"/>
      <c r="BX213" s="198"/>
      <c r="BY213" s="198"/>
      <c r="BZ213" s="198"/>
      <c r="CA213" s="198"/>
      <c r="CB213" s="198">
        <v>110</v>
      </c>
      <c r="CC213" s="198"/>
      <c r="CD213" s="198">
        <v>135</v>
      </c>
      <c r="CE213" s="198">
        <v>135</v>
      </c>
      <c r="CF213" s="198"/>
      <c r="CG213" s="198"/>
      <c r="CH213" s="198"/>
      <c r="CI213" s="198"/>
      <c r="CJ213" s="198"/>
      <c r="CK213" s="198"/>
      <c r="CL213" s="198"/>
      <c r="CM213" s="198"/>
      <c r="CN213" s="198"/>
      <c r="CO213" s="198"/>
      <c r="CP213" s="198">
        <v>320</v>
      </c>
      <c r="CQ213" s="198"/>
      <c r="CR213" s="198"/>
      <c r="CS213" s="198"/>
      <c r="CT213" s="198"/>
      <c r="CU213" s="198"/>
      <c r="CV213" s="198">
        <f>527/3</f>
        <v>175.66666666666666</v>
      </c>
      <c r="CW213" s="198"/>
      <c r="CX213" s="198"/>
      <c r="CZ213" s="170">
        <f t="shared" si="2"/>
        <v>3736.9066666666663</v>
      </c>
    </row>
    <row r="214" spans="1:104" ht="12.75">
      <c r="A214" s="149" t="s">
        <v>194</v>
      </c>
      <c r="B214" s="123" t="s">
        <v>18</v>
      </c>
      <c r="E214" s="123">
        <v>380</v>
      </c>
      <c r="F214" s="188"/>
      <c r="G214" s="188"/>
      <c r="J214" s="188"/>
      <c r="M214" s="123">
        <f>280+80</f>
        <v>360</v>
      </c>
      <c r="N214" s="188"/>
      <c r="P214" s="201"/>
      <c r="Q214" s="188"/>
      <c r="R214" s="201"/>
      <c r="S214" s="201"/>
      <c r="T214" s="198"/>
      <c r="U214" s="198"/>
      <c r="V214" s="198"/>
      <c r="W214" s="198"/>
      <c r="X214" s="198">
        <v>90</v>
      </c>
      <c r="Y214" s="198"/>
      <c r="Z214" s="198">
        <v>80</v>
      </c>
      <c r="AA214" s="198">
        <v>180</v>
      </c>
      <c r="AB214" s="198"/>
      <c r="AC214" s="198"/>
      <c r="AD214" s="198"/>
      <c r="AE214" s="198"/>
      <c r="AF214" s="198"/>
      <c r="AG214" s="198">
        <v>90</v>
      </c>
      <c r="AH214" s="198">
        <v>70</v>
      </c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>
        <v>100</v>
      </c>
      <c r="BG214" s="198">
        <v>100</v>
      </c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V214" s="198"/>
      <c r="BW214" s="198"/>
      <c r="BX214" s="198"/>
      <c r="BY214" s="198"/>
      <c r="BZ214" s="198"/>
      <c r="CA214" s="198"/>
      <c r="CB214" s="198">
        <v>60</v>
      </c>
      <c r="CC214" s="198"/>
      <c r="CD214" s="198">
        <v>85</v>
      </c>
      <c r="CE214" s="198">
        <v>75</v>
      </c>
      <c r="CF214" s="198"/>
      <c r="CG214" s="198"/>
      <c r="CH214" s="198"/>
      <c r="CI214" s="198"/>
      <c r="CJ214" s="198"/>
      <c r="CK214" s="198"/>
      <c r="CL214" s="198"/>
      <c r="CM214" s="198"/>
      <c r="CN214" s="198"/>
      <c r="CO214" s="198"/>
      <c r="CP214" s="198">
        <v>200</v>
      </c>
      <c r="CQ214" s="198"/>
      <c r="CR214" s="198"/>
      <c r="CS214" s="198"/>
      <c r="CT214" s="198"/>
      <c r="CU214" s="198"/>
      <c r="CV214" s="198"/>
      <c r="CW214" s="198"/>
      <c r="CX214" s="198"/>
      <c r="CZ214" s="170">
        <f t="shared" si="2"/>
        <v>1870</v>
      </c>
    </row>
    <row r="215" spans="1:104" ht="12.75">
      <c r="A215" s="149" t="s">
        <v>879</v>
      </c>
      <c r="B215" s="123" t="s">
        <v>17</v>
      </c>
      <c r="F215" s="188"/>
      <c r="G215" s="188"/>
      <c r="J215" s="188"/>
      <c r="N215" s="188"/>
      <c r="P215" s="201"/>
      <c r="Q215" s="188"/>
      <c r="R215" s="201"/>
      <c r="S215" s="201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V215" s="198"/>
      <c r="BW215" s="198"/>
      <c r="BX215" s="198"/>
      <c r="BY215" s="198"/>
      <c r="BZ215" s="198"/>
      <c r="CA215" s="198"/>
      <c r="CB215" s="198"/>
      <c r="CC215" s="198"/>
      <c r="CD215" s="198">
        <v>135</v>
      </c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 s="198"/>
      <c r="CO215" s="198"/>
      <c r="CP215" s="198"/>
      <c r="CQ215" s="198"/>
      <c r="CR215" s="198"/>
      <c r="CS215" s="198"/>
      <c r="CT215" s="198"/>
      <c r="CU215" s="198"/>
      <c r="CV215" s="198"/>
      <c r="CW215" s="198"/>
      <c r="CX215" s="198"/>
      <c r="CZ215" s="170">
        <f>SUM(C215:CY215)</f>
        <v>135</v>
      </c>
    </row>
    <row r="216" spans="1:104" ht="12.75">
      <c r="A216" s="149" t="s">
        <v>556</v>
      </c>
      <c r="B216" s="123" t="s">
        <v>17</v>
      </c>
      <c r="F216" s="188"/>
      <c r="G216" s="188"/>
      <c r="J216" s="188"/>
      <c r="N216" s="188"/>
      <c r="P216" s="201"/>
      <c r="Q216" s="188"/>
      <c r="R216" s="201"/>
      <c r="S216" s="201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>
        <f>60+30</f>
        <v>90</v>
      </c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8"/>
      <c r="CZ216" s="170">
        <f>SUM(C216:CY216)</f>
        <v>90</v>
      </c>
    </row>
    <row r="217" spans="1:151" ht="12.75">
      <c r="A217" s="149" t="s">
        <v>91</v>
      </c>
      <c r="B217" s="123" t="s">
        <v>18</v>
      </c>
      <c r="F217" s="188"/>
      <c r="G217" s="188"/>
      <c r="J217" s="188"/>
      <c r="N217" s="188"/>
      <c r="P217" s="201"/>
      <c r="Q217" s="188"/>
      <c r="R217" s="201"/>
      <c r="S217" s="201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198"/>
      <c r="CH217" s="198"/>
      <c r="CI217" s="198"/>
      <c r="CJ217" s="198"/>
      <c r="CK217" s="198"/>
      <c r="CL217" s="198"/>
      <c r="CM217" s="198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8"/>
      <c r="CZ217" s="170">
        <f>SUM(C217:CY217)</f>
        <v>0</v>
      </c>
      <c r="DA217" s="123"/>
      <c r="DB217" s="123"/>
      <c r="DC217" s="170"/>
      <c r="DD217" s="170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  <c r="DV217" s="123"/>
      <c r="DW217" s="123"/>
      <c r="DX217" s="123"/>
      <c r="DY217" s="123"/>
      <c r="DZ217" s="123"/>
      <c r="EA217" s="123"/>
      <c r="EB217" s="123"/>
      <c r="EC217" s="123"/>
      <c r="ED217" s="123"/>
      <c r="EE217" s="123"/>
      <c r="EF217" s="123"/>
      <c r="EG217" s="123"/>
      <c r="EH217" s="123"/>
      <c r="EI217" s="123"/>
      <c r="EJ217" s="123"/>
      <c r="EK217" s="123"/>
      <c r="EL217" s="123"/>
      <c r="EM217" s="123"/>
      <c r="EN217" s="123"/>
      <c r="EO217" s="123"/>
      <c r="EP217" s="123"/>
      <c r="EQ217" s="123"/>
      <c r="ER217" s="123"/>
      <c r="ES217" s="123"/>
      <c r="ET217" s="123"/>
      <c r="EU217" s="205"/>
    </row>
    <row r="218" spans="1:107" ht="12.75">
      <c r="A218" s="149" t="s">
        <v>62</v>
      </c>
      <c r="B218" s="123" t="s">
        <v>17</v>
      </c>
      <c r="F218" s="188">
        <v>60</v>
      </c>
      <c r="G218" s="188"/>
      <c r="J218" s="188">
        <v>60</v>
      </c>
      <c r="N218" s="188"/>
      <c r="P218" s="201"/>
      <c r="Q218" s="188"/>
      <c r="R218" s="201"/>
      <c r="S218" s="201"/>
      <c r="T218" s="198"/>
      <c r="U218" s="198"/>
      <c r="V218" s="198"/>
      <c r="W218" s="198"/>
      <c r="X218" s="198"/>
      <c r="Y218" s="198"/>
      <c r="Z218" s="198">
        <v>170</v>
      </c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>
        <v>170</v>
      </c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>
        <v>280</v>
      </c>
      <c r="BO218" s="198">
        <v>280</v>
      </c>
      <c r="BP218" s="198"/>
      <c r="BQ218" s="198"/>
      <c r="BR218" s="198"/>
      <c r="BS218" s="198"/>
      <c r="BT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198"/>
      <c r="CH218" s="198"/>
      <c r="CI218" s="198"/>
      <c r="CJ218" s="198"/>
      <c r="CK218" s="198"/>
      <c r="CL218" s="198"/>
      <c r="CM218" s="198"/>
      <c r="CN218" s="198"/>
      <c r="CO218" s="198"/>
      <c r="CP218" s="198"/>
      <c r="CQ218" s="198"/>
      <c r="CR218" s="198"/>
      <c r="CS218" s="198"/>
      <c r="CT218" s="198"/>
      <c r="CU218" s="198"/>
      <c r="CV218" s="198"/>
      <c r="CW218" s="198"/>
      <c r="CX218" s="198"/>
      <c r="CZ218" s="170">
        <f>SUM(C218:CY218)</f>
        <v>1020</v>
      </c>
      <c r="DC218" s="170"/>
    </row>
    <row r="219" spans="1:107" ht="12.75">
      <c r="A219" s="149" t="s">
        <v>63</v>
      </c>
      <c r="B219" s="123" t="s">
        <v>17</v>
      </c>
      <c r="C219" s="123">
        <v>90</v>
      </c>
      <c r="F219" s="188"/>
      <c r="G219" s="188"/>
      <c r="J219" s="188"/>
      <c r="N219" s="188"/>
      <c r="P219" s="201"/>
      <c r="Q219" s="188"/>
      <c r="R219" s="201"/>
      <c r="S219" s="201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>
        <v>110</v>
      </c>
      <c r="AW219" s="198"/>
      <c r="AX219" s="198"/>
      <c r="AY219" s="198">
        <v>110</v>
      </c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Z219" s="170">
        <f>SUM(C219:CY219)</f>
        <v>310</v>
      </c>
      <c r="DC219" s="170"/>
    </row>
    <row r="220" spans="104:150" ht="12.75">
      <c r="CZ220" s="170"/>
      <c r="DA220" s="123"/>
      <c r="DB220" s="123"/>
      <c r="DC220" s="170"/>
      <c r="DD220" s="170"/>
      <c r="DE220" s="170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  <c r="DV220" s="123"/>
      <c r="DW220" s="123"/>
      <c r="DX220" s="123"/>
      <c r="DY220" s="123"/>
      <c r="DZ220" s="123"/>
      <c r="EA220" s="123"/>
      <c r="EB220" s="123"/>
      <c r="EC220" s="123"/>
      <c r="ED220" s="123"/>
      <c r="EE220" s="123"/>
      <c r="EF220" s="123"/>
      <c r="EG220" s="123"/>
      <c r="EH220" s="123"/>
      <c r="EI220" s="123"/>
      <c r="EJ220" s="123"/>
      <c r="EK220" s="123"/>
      <c r="EL220" s="123"/>
      <c r="EM220" s="123"/>
      <c r="EN220" s="123"/>
      <c r="EO220" s="123"/>
      <c r="EP220" s="123"/>
      <c r="EQ220" s="123"/>
      <c r="ER220" s="123"/>
      <c r="ES220" s="123"/>
      <c r="ET220" s="123"/>
    </row>
    <row r="221" spans="3:150" ht="12.75">
      <c r="C221" s="170">
        <f>SUBTOTAL(9,C7:C220)</f>
        <v>270</v>
      </c>
      <c r="D221" s="170">
        <f>SUBTOTAL(9,D7:D218)</f>
        <v>850</v>
      </c>
      <c r="E221" s="170">
        <f aca="true" t="shared" si="3" ref="E221:R221">SUBTOTAL(9,E7:E218)</f>
        <v>3570</v>
      </c>
      <c r="F221" s="170">
        <f t="shared" si="3"/>
        <v>480</v>
      </c>
      <c r="G221" s="170">
        <f t="shared" si="3"/>
        <v>300</v>
      </c>
      <c r="H221" s="170">
        <f t="shared" si="3"/>
        <v>2320</v>
      </c>
      <c r="I221" s="170">
        <f t="shared" si="3"/>
        <v>2130</v>
      </c>
      <c r="J221" s="170">
        <f t="shared" si="3"/>
        <v>300</v>
      </c>
      <c r="K221" s="170">
        <f t="shared" si="3"/>
        <v>3030</v>
      </c>
      <c r="L221" s="170">
        <f t="shared" si="3"/>
        <v>1180</v>
      </c>
      <c r="M221" s="170">
        <f t="shared" si="3"/>
        <v>5140</v>
      </c>
      <c r="N221" s="170">
        <f t="shared" si="3"/>
        <v>180</v>
      </c>
      <c r="O221" s="170">
        <f t="shared" si="3"/>
        <v>1800</v>
      </c>
      <c r="P221" s="170">
        <f t="shared" si="3"/>
        <v>50</v>
      </c>
      <c r="Q221" s="170">
        <f t="shared" si="3"/>
        <v>180</v>
      </c>
      <c r="R221" s="170">
        <f t="shared" si="3"/>
        <v>1513.005</v>
      </c>
      <c r="S221" s="170">
        <f aca="true" t="shared" si="4" ref="S221:AS221">SUBTOTAL(9,S7:S218)</f>
        <v>5681.97</v>
      </c>
      <c r="T221" s="170">
        <f t="shared" si="4"/>
        <v>1285</v>
      </c>
      <c r="U221" s="170">
        <f t="shared" si="4"/>
        <v>850</v>
      </c>
      <c r="V221" s="170">
        <f t="shared" si="4"/>
        <v>1260</v>
      </c>
      <c r="W221" s="170">
        <f t="shared" si="4"/>
        <v>3185</v>
      </c>
      <c r="X221" s="170">
        <f t="shared" si="4"/>
        <v>8065</v>
      </c>
      <c r="Y221" s="170">
        <f t="shared" si="4"/>
        <v>6100</v>
      </c>
      <c r="Z221" s="170">
        <f t="shared" si="4"/>
        <v>4395</v>
      </c>
      <c r="AA221" s="170">
        <f>SUBTOTAL(9,AA7:AA218)</f>
        <v>8820</v>
      </c>
      <c r="AB221" s="170">
        <f t="shared" si="4"/>
        <v>110</v>
      </c>
      <c r="AC221" s="170">
        <f t="shared" si="4"/>
        <v>1320</v>
      </c>
      <c r="AD221" s="170">
        <f t="shared" si="4"/>
        <v>1320</v>
      </c>
      <c r="AE221" s="170">
        <f t="shared" si="4"/>
        <v>610</v>
      </c>
      <c r="AF221" s="170">
        <f t="shared" si="4"/>
        <v>1170</v>
      </c>
      <c r="AG221" s="170">
        <f t="shared" si="4"/>
        <v>2940</v>
      </c>
      <c r="AH221" s="170">
        <f t="shared" si="4"/>
        <v>3780</v>
      </c>
      <c r="AI221" s="170">
        <f t="shared" si="4"/>
        <v>3000</v>
      </c>
      <c r="AJ221" s="170">
        <f t="shared" si="4"/>
        <v>90</v>
      </c>
      <c r="AK221" s="170">
        <f t="shared" si="4"/>
        <v>2310</v>
      </c>
      <c r="AL221" s="170">
        <f t="shared" si="4"/>
        <v>100</v>
      </c>
      <c r="AM221" s="170">
        <f t="shared" si="4"/>
        <v>3125</v>
      </c>
      <c r="AN221" s="170">
        <f t="shared" si="4"/>
        <v>910</v>
      </c>
      <c r="AO221" s="170">
        <f t="shared" si="4"/>
        <v>4790</v>
      </c>
      <c r="AP221" s="170">
        <f t="shared" si="4"/>
        <v>910</v>
      </c>
      <c r="AQ221" s="170">
        <f t="shared" si="4"/>
        <v>7590</v>
      </c>
      <c r="AR221" s="170">
        <f t="shared" si="4"/>
        <v>250</v>
      </c>
      <c r="AS221" s="170">
        <f t="shared" si="4"/>
        <v>3550</v>
      </c>
      <c r="AT221" s="170">
        <f>SUBTOTAL(9,AT7:AT220)</f>
        <v>1860</v>
      </c>
      <c r="AU221" s="170">
        <f>SUBTOTAL(9,AU7:AU220)</f>
        <v>3410</v>
      </c>
      <c r="AV221" s="170">
        <f>SUBTOTAL(9,AV7:AV220)</f>
        <v>1555</v>
      </c>
      <c r="AW221" s="170">
        <f>SUBTOTAL(9,AW7:AW218)</f>
        <v>5330</v>
      </c>
      <c r="AX221" s="170">
        <f>SUBTOTAL(9,AX7:AX220)</f>
        <v>2920</v>
      </c>
      <c r="AY221" s="170">
        <f aca="true" t="shared" si="5" ref="AY221:BS221">SUBTOTAL(9,AY7:AY220)</f>
        <v>330</v>
      </c>
      <c r="AZ221" s="170">
        <f t="shared" si="5"/>
        <v>2825</v>
      </c>
      <c r="BA221" s="170">
        <f>SUBTOTAL(9,BA7:BA220)</f>
        <v>110</v>
      </c>
      <c r="BB221" s="170">
        <f>SUBTOTAL(9,BB7:BB220)</f>
        <v>280</v>
      </c>
      <c r="BC221" s="170">
        <f>SUBTOTAL(9,BC7:BC220)</f>
        <v>1220</v>
      </c>
      <c r="BD221" s="170">
        <f t="shared" si="5"/>
        <v>2330</v>
      </c>
      <c r="BE221" s="170">
        <f t="shared" si="5"/>
        <v>370</v>
      </c>
      <c r="BF221" s="170">
        <f t="shared" si="5"/>
        <v>5700</v>
      </c>
      <c r="BG221" s="170">
        <f t="shared" si="5"/>
        <v>9360</v>
      </c>
      <c r="BH221" s="170">
        <f t="shared" si="5"/>
        <v>3200</v>
      </c>
      <c r="BI221" s="170">
        <f t="shared" si="5"/>
        <v>100</v>
      </c>
      <c r="BJ221" s="170">
        <f>SUBTOTAL(9,BJ7:BJ220)</f>
        <v>560</v>
      </c>
      <c r="BK221" s="170">
        <f>SUBTOTAL(9,BK7:BK220)</f>
        <v>290</v>
      </c>
      <c r="BL221" s="170">
        <f>SUBTOTAL(9,BL7:BL220)</f>
        <v>1840.0010249999998</v>
      </c>
      <c r="BM221" s="170">
        <f t="shared" si="5"/>
        <v>60</v>
      </c>
      <c r="BN221" s="170">
        <f t="shared" si="5"/>
        <v>840</v>
      </c>
      <c r="BO221" s="170">
        <f>SUBTOTAL(9,BO7:BO220)</f>
        <v>840</v>
      </c>
      <c r="BP221" s="170">
        <f>SUBTOTAL(9,BP7:BP220)</f>
        <v>250</v>
      </c>
      <c r="BQ221" s="170">
        <f>SUBTOTAL(9,BQ7:BQ220)</f>
        <v>2530</v>
      </c>
      <c r="BR221" s="170">
        <f t="shared" si="5"/>
        <v>1910</v>
      </c>
      <c r="BS221" s="170">
        <f t="shared" si="5"/>
        <v>650.818395</v>
      </c>
      <c r="BT221" s="170">
        <f aca="true" t="shared" si="6" ref="BT221:CE221">SUBTOTAL(9,BT7:BT220)</f>
        <v>3920</v>
      </c>
      <c r="BU221" s="170">
        <f t="shared" si="6"/>
        <v>2064.48</v>
      </c>
      <c r="BV221" s="170">
        <f t="shared" si="6"/>
        <v>60</v>
      </c>
      <c r="BW221" s="170">
        <f t="shared" si="6"/>
        <v>100</v>
      </c>
      <c r="BX221" s="170">
        <f t="shared" si="6"/>
        <v>445</v>
      </c>
      <c r="BY221" s="170">
        <f t="shared" si="6"/>
        <v>2720</v>
      </c>
      <c r="BZ221" s="170">
        <f t="shared" si="6"/>
        <v>1890</v>
      </c>
      <c r="CA221" s="170">
        <f t="shared" si="6"/>
        <v>1350</v>
      </c>
      <c r="CB221" s="170">
        <f t="shared" si="6"/>
        <v>2745</v>
      </c>
      <c r="CC221" s="170">
        <f t="shared" si="6"/>
        <v>1220</v>
      </c>
      <c r="CD221" s="170">
        <f t="shared" si="6"/>
        <v>9810</v>
      </c>
      <c r="CE221" s="170">
        <f t="shared" si="6"/>
        <v>3240</v>
      </c>
      <c r="CF221" s="170">
        <f aca="true" t="shared" si="7" ref="CF221:CO221">SUBTOTAL(9,CF7:CF220)</f>
        <v>100</v>
      </c>
      <c r="CG221" s="170">
        <f>SUBTOTAL(9,CG7:CG220)</f>
        <v>230</v>
      </c>
      <c r="CH221" s="170">
        <f t="shared" si="7"/>
        <v>630</v>
      </c>
      <c r="CI221" s="170">
        <f t="shared" si="7"/>
        <v>1330</v>
      </c>
      <c r="CJ221" s="170">
        <f>SUBTOTAL(9,CJ7:CJ220)</f>
        <v>720</v>
      </c>
      <c r="CK221" s="170">
        <f t="shared" si="7"/>
        <v>810</v>
      </c>
      <c r="CL221" s="170">
        <f>SUBTOTAL(9,CL7:CL220)</f>
        <v>855</v>
      </c>
      <c r="CM221" s="170">
        <f>SUBTOTAL(9,CM7:CM220)</f>
        <v>100</v>
      </c>
      <c r="CN221" s="170">
        <f t="shared" si="7"/>
        <v>400</v>
      </c>
      <c r="CO221" s="170">
        <f t="shared" si="7"/>
        <v>200</v>
      </c>
      <c r="CP221" s="170">
        <f aca="true" t="shared" si="8" ref="CP221:CX221">SUBTOTAL(9,CP7:CP220)</f>
        <v>11220</v>
      </c>
      <c r="CQ221" s="170">
        <f>SUBTOTAL(9,CQ7:CQ220)</f>
        <v>180</v>
      </c>
      <c r="CR221" s="170">
        <f t="shared" si="8"/>
        <v>970</v>
      </c>
      <c r="CS221" s="170">
        <f t="shared" si="8"/>
        <v>130</v>
      </c>
      <c r="CT221" s="170">
        <f t="shared" si="8"/>
        <v>300</v>
      </c>
      <c r="CU221" s="170">
        <f t="shared" si="8"/>
        <v>351.08108108108115</v>
      </c>
      <c r="CV221" s="170">
        <f>SUBTOTAL(9,CV7:CV220)</f>
        <v>527</v>
      </c>
      <c r="CW221" s="170">
        <f>SUBTOTAL(9,CW7:CW220)</f>
        <v>298.4189189189189</v>
      </c>
      <c r="CX221" s="170">
        <f t="shared" si="8"/>
        <v>60</v>
      </c>
      <c r="CZ221" s="170">
        <f>SUBTOTAL(9,CZ7:CZ219)</f>
        <v>200456.77442000003</v>
      </c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123"/>
      <c r="DP221" s="123"/>
      <c r="DQ221" s="123"/>
      <c r="DR221" s="123"/>
      <c r="DS221" s="123"/>
      <c r="DT221" s="123"/>
      <c r="DU221" s="123"/>
      <c r="DV221" s="123"/>
      <c r="DW221" s="123"/>
      <c r="DX221" s="123"/>
      <c r="DY221" s="123"/>
      <c r="DZ221" s="123"/>
      <c r="EA221" s="123"/>
      <c r="EB221" s="123"/>
      <c r="EC221" s="123"/>
      <c r="ED221" s="123"/>
      <c r="EE221" s="123"/>
      <c r="EF221" s="123"/>
      <c r="EG221" s="123"/>
      <c r="EH221" s="123"/>
      <c r="EI221" s="123"/>
      <c r="EJ221" s="123"/>
      <c r="EK221" s="123"/>
      <c r="EL221" s="123"/>
      <c r="EM221" s="123"/>
      <c r="EN221" s="123"/>
      <c r="EO221" s="123"/>
      <c r="EP221" s="123"/>
      <c r="EQ221" s="123"/>
      <c r="ER221" s="123"/>
      <c r="ES221" s="123"/>
      <c r="ET221" s="123"/>
    </row>
    <row r="222" spans="1:103" ht="12.75">
      <c r="A222" s="149" t="s">
        <v>124</v>
      </c>
      <c r="CY222" s="170"/>
    </row>
    <row r="224" spans="1:109" ht="12.75">
      <c r="A224" s="149" t="s">
        <v>123</v>
      </c>
      <c r="C224" s="170">
        <f>SUM(C7:C220)</f>
        <v>270</v>
      </c>
      <c r="D224" s="170">
        <f>SUM(D7:D220)</f>
        <v>850</v>
      </c>
      <c r="E224" s="170">
        <f aca="true" t="shared" si="9" ref="E224:R224">SUM(E7:E220)</f>
        <v>3570</v>
      </c>
      <c r="F224" s="170">
        <f t="shared" si="9"/>
        <v>480</v>
      </c>
      <c r="G224" s="170">
        <f t="shared" si="9"/>
        <v>300</v>
      </c>
      <c r="H224" s="170">
        <f t="shared" si="9"/>
        <v>2320</v>
      </c>
      <c r="I224" s="170">
        <f t="shared" si="9"/>
        <v>2130</v>
      </c>
      <c r="J224" s="170">
        <f t="shared" si="9"/>
        <v>300</v>
      </c>
      <c r="K224" s="170">
        <f t="shared" si="9"/>
        <v>3030</v>
      </c>
      <c r="L224" s="170">
        <f t="shared" si="9"/>
        <v>1180</v>
      </c>
      <c r="M224" s="170">
        <f t="shared" si="9"/>
        <v>5140</v>
      </c>
      <c r="N224" s="170">
        <f t="shared" si="9"/>
        <v>180</v>
      </c>
      <c r="O224" s="170">
        <f t="shared" si="9"/>
        <v>1800</v>
      </c>
      <c r="P224" s="170">
        <f t="shared" si="9"/>
        <v>50</v>
      </c>
      <c r="Q224" s="170">
        <f t="shared" si="9"/>
        <v>180</v>
      </c>
      <c r="R224" s="170">
        <f t="shared" si="9"/>
        <v>1513.005</v>
      </c>
      <c r="S224" s="170">
        <f aca="true" t="shared" si="10" ref="S224:BS224">SUM(S7:S220)</f>
        <v>5681.97</v>
      </c>
      <c r="T224" s="170">
        <f t="shared" si="10"/>
        <v>1285</v>
      </c>
      <c r="U224" s="170">
        <f t="shared" si="10"/>
        <v>850</v>
      </c>
      <c r="V224" s="170">
        <f t="shared" si="10"/>
        <v>1260</v>
      </c>
      <c r="W224" s="170">
        <f t="shared" si="10"/>
        <v>3185</v>
      </c>
      <c r="X224" s="170">
        <f t="shared" si="10"/>
        <v>8065</v>
      </c>
      <c r="Y224" s="170">
        <f t="shared" si="10"/>
        <v>6100</v>
      </c>
      <c r="Z224" s="170">
        <f t="shared" si="10"/>
        <v>4395</v>
      </c>
      <c r="AA224" s="170">
        <f>SUM(AA7:AA220)</f>
        <v>8820</v>
      </c>
      <c r="AB224" s="170">
        <f t="shared" si="10"/>
        <v>110</v>
      </c>
      <c r="AC224" s="170">
        <f t="shared" si="10"/>
        <v>1320</v>
      </c>
      <c r="AD224" s="170">
        <f t="shared" si="10"/>
        <v>1320</v>
      </c>
      <c r="AE224" s="170">
        <f t="shared" si="10"/>
        <v>610</v>
      </c>
      <c r="AF224" s="170">
        <f t="shared" si="10"/>
        <v>1170</v>
      </c>
      <c r="AG224" s="170">
        <f t="shared" si="10"/>
        <v>2940</v>
      </c>
      <c r="AH224" s="170">
        <f t="shared" si="10"/>
        <v>3780</v>
      </c>
      <c r="AI224" s="170">
        <f t="shared" si="10"/>
        <v>3000</v>
      </c>
      <c r="AJ224" s="170">
        <f t="shared" si="10"/>
        <v>90</v>
      </c>
      <c r="AK224" s="170">
        <f t="shared" si="10"/>
        <v>2310</v>
      </c>
      <c r="AL224" s="170">
        <f t="shared" si="10"/>
        <v>100</v>
      </c>
      <c r="AM224" s="170">
        <f t="shared" si="10"/>
        <v>3125</v>
      </c>
      <c r="AN224" s="170">
        <f t="shared" si="10"/>
        <v>910</v>
      </c>
      <c r="AO224" s="170">
        <f t="shared" si="10"/>
        <v>4790</v>
      </c>
      <c r="AP224" s="170">
        <f t="shared" si="10"/>
        <v>910</v>
      </c>
      <c r="AQ224" s="170">
        <f t="shared" si="10"/>
        <v>7590</v>
      </c>
      <c r="AR224" s="170">
        <f t="shared" si="10"/>
        <v>250</v>
      </c>
      <c r="AS224" s="170">
        <f t="shared" si="10"/>
        <v>3550</v>
      </c>
      <c r="AT224" s="170">
        <f t="shared" si="10"/>
        <v>1860</v>
      </c>
      <c r="AU224" s="170">
        <f>SUM(AU7:AU220)</f>
        <v>3410</v>
      </c>
      <c r="AV224" s="170">
        <f t="shared" si="10"/>
        <v>1555</v>
      </c>
      <c r="AW224" s="170">
        <f t="shared" si="10"/>
        <v>5330</v>
      </c>
      <c r="AX224" s="170">
        <f>SUM(AX7:AX220)</f>
        <v>2920</v>
      </c>
      <c r="AY224" s="170">
        <f t="shared" si="10"/>
        <v>330</v>
      </c>
      <c r="AZ224" s="170">
        <f t="shared" si="10"/>
        <v>2825</v>
      </c>
      <c r="BA224" s="170">
        <f>SUM(BA7:BA220)</f>
        <v>110</v>
      </c>
      <c r="BB224" s="170">
        <f>SUM(BB7:BB220)</f>
        <v>280</v>
      </c>
      <c r="BC224" s="170">
        <f>SUM(BC7:BC220)</f>
        <v>1220</v>
      </c>
      <c r="BD224" s="170">
        <f t="shared" si="10"/>
        <v>2330</v>
      </c>
      <c r="BE224" s="170">
        <f t="shared" si="10"/>
        <v>370</v>
      </c>
      <c r="BF224" s="170">
        <f t="shared" si="10"/>
        <v>5700</v>
      </c>
      <c r="BG224" s="170">
        <f t="shared" si="10"/>
        <v>9360</v>
      </c>
      <c r="BH224" s="170">
        <f t="shared" si="10"/>
        <v>3200</v>
      </c>
      <c r="BI224" s="170">
        <f t="shared" si="10"/>
        <v>100</v>
      </c>
      <c r="BJ224" s="170">
        <f>SUM(BJ7:BJ220)</f>
        <v>560</v>
      </c>
      <c r="BK224" s="170">
        <f>SUM(BK7:BK220)</f>
        <v>290</v>
      </c>
      <c r="BL224" s="170">
        <f>SUM(BL7:BL220)</f>
        <v>1840.0010249999998</v>
      </c>
      <c r="BM224" s="170">
        <f t="shared" si="10"/>
        <v>60</v>
      </c>
      <c r="BN224" s="170">
        <f t="shared" si="10"/>
        <v>840</v>
      </c>
      <c r="BO224" s="170">
        <f>SUM(BO7:BO220)</f>
        <v>840</v>
      </c>
      <c r="BP224" s="170">
        <f>SUM(BP7:BP220)</f>
        <v>250</v>
      </c>
      <c r="BQ224" s="170">
        <f>SUM(BQ7:BQ220)</f>
        <v>2530</v>
      </c>
      <c r="BR224" s="170">
        <f t="shared" si="10"/>
        <v>1910</v>
      </c>
      <c r="BS224" s="170">
        <f t="shared" si="10"/>
        <v>650.818395</v>
      </c>
      <c r="BT224" s="170">
        <f aca="true" t="shared" si="11" ref="BT224:CE224">SUM(BT7:BT220)</f>
        <v>3920</v>
      </c>
      <c r="BU224" s="170">
        <f t="shared" si="11"/>
        <v>2064.48</v>
      </c>
      <c r="BV224" s="170">
        <f t="shared" si="11"/>
        <v>60</v>
      </c>
      <c r="BW224" s="170">
        <f t="shared" si="11"/>
        <v>100</v>
      </c>
      <c r="BX224" s="170">
        <f t="shared" si="11"/>
        <v>445</v>
      </c>
      <c r="BY224" s="170">
        <f t="shared" si="11"/>
        <v>2720</v>
      </c>
      <c r="BZ224" s="170">
        <f t="shared" si="11"/>
        <v>1890</v>
      </c>
      <c r="CA224" s="170">
        <f t="shared" si="11"/>
        <v>1350</v>
      </c>
      <c r="CB224" s="170">
        <f t="shared" si="11"/>
        <v>2745</v>
      </c>
      <c r="CC224" s="170">
        <f t="shared" si="11"/>
        <v>1220</v>
      </c>
      <c r="CD224" s="170">
        <f t="shared" si="11"/>
        <v>9810</v>
      </c>
      <c r="CE224" s="170">
        <f t="shared" si="11"/>
        <v>3240</v>
      </c>
      <c r="CF224" s="170">
        <f aca="true" t="shared" si="12" ref="CF224:CO224">SUM(CF7:CF220)</f>
        <v>100</v>
      </c>
      <c r="CG224" s="170">
        <f>SUM(CG7:CG220)</f>
        <v>230</v>
      </c>
      <c r="CH224" s="170">
        <f t="shared" si="12"/>
        <v>630</v>
      </c>
      <c r="CI224" s="170">
        <f t="shared" si="12"/>
        <v>1330</v>
      </c>
      <c r="CJ224" s="170">
        <f>SUM(CJ7:CJ220)</f>
        <v>720</v>
      </c>
      <c r="CK224" s="170">
        <f t="shared" si="12"/>
        <v>810</v>
      </c>
      <c r="CL224" s="170">
        <f>SUM(CL7:CL220)</f>
        <v>855</v>
      </c>
      <c r="CM224" s="170">
        <f>SUM(CM7:CM220)</f>
        <v>100</v>
      </c>
      <c r="CN224" s="170">
        <f t="shared" si="12"/>
        <v>400</v>
      </c>
      <c r="CO224" s="170">
        <f t="shared" si="12"/>
        <v>200</v>
      </c>
      <c r="CP224" s="170">
        <f aca="true" t="shared" si="13" ref="CP224:CX224">SUM(CP7:CP220)</f>
        <v>11220</v>
      </c>
      <c r="CQ224" s="170">
        <f>SUM(CQ7:CQ220)</f>
        <v>180</v>
      </c>
      <c r="CR224" s="170">
        <f t="shared" si="13"/>
        <v>970</v>
      </c>
      <c r="CS224" s="170">
        <f t="shared" si="13"/>
        <v>130</v>
      </c>
      <c r="CT224" s="170">
        <f t="shared" si="13"/>
        <v>300</v>
      </c>
      <c r="CU224" s="170">
        <f t="shared" si="13"/>
        <v>351.08108108108115</v>
      </c>
      <c r="CV224" s="170">
        <f>SUM(CV7:CV220)</f>
        <v>527</v>
      </c>
      <c r="CW224" s="170">
        <f>SUM(CW7:CW220)</f>
        <v>298.4189189189189</v>
      </c>
      <c r="CX224" s="170">
        <f t="shared" si="13"/>
        <v>60</v>
      </c>
      <c r="CZ224" s="170">
        <f>SUM(C224:CY224)</f>
        <v>200456.77442000003</v>
      </c>
      <c r="DE224" s="206"/>
    </row>
    <row r="225" ht="12.75">
      <c r="CY225" s="170"/>
    </row>
    <row r="229" ht="12.75">
      <c r="CZ229" s="206"/>
    </row>
    <row r="230" ht="12.75">
      <c r="CY230" s="170"/>
    </row>
    <row r="233" spans="3:102" ht="12.75"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  <c r="BR233" s="170"/>
      <c r="BS233" s="170"/>
      <c r="BT233" s="170"/>
      <c r="BV233" s="170"/>
      <c r="BW233" s="170"/>
      <c r="BX233" s="170"/>
      <c r="BY233" s="170"/>
      <c r="BZ233" s="170"/>
      <c r="CA233" s="170"/>
      <c r="CB233" s="170"/>
      <c r="CC233" s="170"/>
      <c r="CD233" s="170"/>
      <c r="CE233" s="170"/>
      <c r="CF233" s="170"/>
      <c r="CG233" s="170"/>
      <c r="CH233" s="170"/>
      <c r="CI233" s="170"/>
      <c r="CJ233" s="170"/>
      <c r="CK233" s="170"/>
      <c r="CL233" s="170"/>
      <c r="CM233" s="170"/>
      <c r="CN233" s="170"/>
      <c r="CO233" s="170"/>
      <c r="CP233" s="170"/>
      <c r="CQ233" s="170"/>
      <c r="CR233" s="170"/>
      <c r="CS233" s="170"/>
      <c r="CT233" s="170"/>
      <c r="CU233" s="170"/>
      <c r="CV233" s="170"/>
      <c r="CW233" s="170"/>
      <c r="CX233" s="170"/>
    </row>
    <row r="235" spans="1:151" ht="12.75">
      <c r="A235" s="149" t="s">
        <v>882</v>
      </c>
      <c r="B235" s="123" t="s">
        <v>248</v>
      </c>
      <c r="F235" s="188"/>
      <c r="G235" s="188"/>
      <c r="J235" s="188"/>
      <c r="N235" s="188"/>
      <c r="P235" s="201"/>
      <c r="Q235" s="188"/>
      <c r="R235" s="201"/>
      <c r="S235" s="201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V235" s="198"/>
      <c r="BW235" s="198"/>
      <c r="BX235" s="198"/>
      <c r="BY235" s="198"/>
      <c r="BZ235" s="198"/>
      <c r="CA235" s="198"/>
      <c r="CB235" s="198"/>
      <c r="CC235" s="198"/>
      <c r="CD235" s="198">
        <v>215</v>
      </c>
      <c r="CE235" s="198"/>
      <c r="CF235" s="198"/>
      <c r="CG235" s="198"/>
      <c r="CH235" s="198"/>
      <c r="CI235" s="198"/>
      <c r="CJ235" s="198"/>
      <c r="CK235" s="198"/>
      <c r="CL235" s="198"/>
      <c r="CM235" s="198"/>
      <c r="CN235" s="198"/>
      <c r="CO235" s="198"/>
      <c r="CP235" s="198"/>
      <c r="CQ235" s="198"/>
      <c r="CR235" s="198"/>
      <c r="CS235" s="198"/>
      <c r="CT235" s="198"/>
      <c r="CU235" s="198"/>
      <c r="CV235" s="198"/>
      <c r="CW235" s="198"/>
      <c r="CX235" s="198"/>
      <c r="CZ235" s="170">
        <f>SUM(C235:CY235)</f>
        <v>215</v>
      </c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  <c r="DW235" s="123"/>
      <c r="DX235" s="123"/>
      <c r="DY235" s="123"/>
      <c r="DZ235" s="123"/>
      <c r="EA235" s="123"/>
      <c r="EB235" s="123"/>
      <c r="EC235" s="123"/>
      <c r="ED235" s="123"/>
      <c r="EE235" s="123"/>
      <c r="EF235" s="123"/>
      <c r="EG235" s="123"/>
      <c r="EH235" s="123"/>
      <c r="EI235" s="123"/>
      <c r="EJ235" s="123"/>
      <c r="EK235" s="123"/>
      <c r="EL235" s="123"/>
      <c r="EM235" s="123"/>
      <c r="EN235" s="123"/>
      <c r="EO235" s="123"/>
      <c r="EP235" s="123"/>
      <c r="EQ235" s="123"/>
      <c r="ER235" s="123"/>
      <c r="ES235" s="123"/>
      <c r="ET235" s="123"/>
      <c r="EU235" s="205"/>
    </row>
    <row r="236" spans="1:151" ht="12.75">
      <c r="A236" s="149" t="s">
        <v>583</v>
      </c>
      <c r="B236" s="123" t="s">
        <v>248</v>
      </c>
      <c r="F236" s="188"/>
      <c r="G236" s="188"/>
      <c r="J236" s="188"/>
      <c r="N236" s="188"/>
      <c r="P236" s="201"/>
      <c r="Q236" s="188"/>
      <c r="R236" s="201"/>
      <c r="S236" s="201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>
        <v>110</v>
      </c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/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Z236" s="170">
        <f>SUM(C236:CY236)</f>
        <v>110</v>
      </c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  <c r="DV236" s="123"/>
      <c r="DW236" s="123"/>
      <c r="DX236" s="123"/>
      <c r="DY236" s="123"/>
      <c r="DZ236" s="123"/>
      <c r="EA236" s="123"/>
      <c r="EB236" s="123"/>
      <c r="EC236" s="123"/>
      <c r="ED236" s="123"/>
      <c r="EE236" s="123"/>
      <c r="EF236" s="123"/>
      <c r="EG236" s="123"/>
      <c r="EH236" s="123"/>
      <c r="EI236" s="123"/>
      <c r="EJ236" s="123"/>
      <c r="EK236" s="123"/>
      <c r="EL236" s="123"/>
      <c r="EM236" s="123"/>
      <c r="EN236" s="123"/>
      <c r="EO236" s="123"/>
      <c r="EP236" s="123"/>
      <c r="EQ236" s="123"/>
      <c r="ER236" s="123"/>
      <c r="ES236" s="123"/>
      <c r="ET236" s="123"/>
      <c r="EU236" s="205"/>
    </row>
    <row r="237" spans="1:151" ht="12.75">
      <c r="A237" s="149" t="s">
        <v>544</v>
      </c>
      <c r="B237" s="123" t="s">
        <v>248</v>
      </c>
      <c r="F237" s="188"/>
      <c r="G237" s="188"/>
      <c r="J237" s="188"/>
      <c r="N237" s="188"/>
      <c r="P237" s="201"/>
      <c r="Q237" s="188"/>
      <c r="R237" s="201"/>
      <c r="S237" s="201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>
        <v>60</v>
      </c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V237" s="198"/>
      <c r="BW237" s="198"/>
      <c r="BX237" s="198"/>
      <c r="BY237" s="198"/>
      <c r="BZ237" s="198"/>
      <c r="CA237" s="198"/>
      <c r="CB237" s="198"/>
      <c r="CC237" s="198"/>
      <c r="CD237" s="198"/>
      <c r="CE237" s="198"/>
      <c r="CF237" s="198"/>
      <c r="CG237" s="198"/>
      <c r="CH237" s="198"/>
      <c r="CI237" s="198"/>
      <c r="CJ237" s="198"/>
      <c r="CK237" s="198"/>
      <c r="CL237" s="198"/>
      <c r="CM237" s="198"/>
      <c r="CN237" s="198"/>
      <c r="CO237" s="198"/>
      <c r="CP237" s="198"/>
      <c r="CQ237" s="198"/>
      <c r="CR237" s="198"/>
      <c r="CS237" s="198"/>
      <c r="CT237" s="198"/>
      <c r="CU237" s="198"/>
      <c r="CV237" s="198"/>
      <c r="CW237" s="198"/>
      <c r="CX237" s="198"/>
      <c r="CZ237" s="170">
        <f>SUM(C237:CY237)</f>
        <v>60</v>
      </c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  <c r="DW237" s="123"/>
      <c r="DX237" s="123"/>
      <c r="DY237" s="123"/>
      <c r="DZ237" s="123"/>
      <c r="EA237" s="123"/>
      <c r="EB237" s="123"/>
      <c r="EC237" s="123"/>
      <c r="ED237" s="123"/>
      <c r="EE237" s="123"/>
      <c r="EF237" s="123"/>
      <c r="EG237" s="123"/>
      <c r="EH237" s="123"/>
      <c r="EI237" s="123"/>
      <c r="EJ237" s="123"/>
      <c r="EK237" s="123"/>
      <c r="EL237" s="123"/>
      <c r="EM237" s="123"/>
      <c r="EN237" s="123"/>
      <c r="EO237" s="123"/>
      <c r="EP237" s="123"/>
      <c r="EQ237" s="123"/>
      <c r="ER237" s="123"/>
      <c r="ES237" s="123"/>
      <c r="ET237" s="123"/>
      <c r="EU237" s="205"/>
    </row>
    <row r="238" ht="12.75">
      <c r="CZ238" s="170">
        <f>SUM(CZ235:CZ237)</f>
        <v>385</v>
      </c>
    </row>
  </sheetData>
  <sheetProtection/>
  <autoFilter ref="A3:B219"/>
  <printOptions/>
  <pageMargins left="0.787401575" right="0.787401575" top="0.16" bottom="0.17" header="0.13" footer="0.1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S255"/>
  <sheetViews>
    <sheetView zoomScale="75" zoomScaleNormal="75" zoomScalePageLayoutView="0" workbookViewId="0" topLeftCell="A1">
      <pane xSplit="2" ySplit="4" topLeftCell="C1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37" sqref="A237:IV237"/>
    </sheetView>
  </sheetViews>
  <sheetFormatPr defaultColWidth="11.421875" defaultRowHeight="12.75"/>
  <cols>
    <col min="1" max="1" width="32.57421875" style="2" customWidth="1"/>
    <col min="2" max="2" width="8.7109375" style="127" customWidth="1"/>
    <col min="3" max="106" width="11.57421875" style="2" customWidth="1"/>
    <col min="107" max="16384" width="11.421875" style="2" customWidth="1"/>
  </cols>
  <sheetData>
    <row r="1" spans="1:101" ht="19.5">
      <c r="A1" s="42" t="s">
        <v>295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47" ht="15.75">
      <c r="A2" s="2" t="s">
        <v>121</v>
      </c>
      <c r="B2" s="132" t="s">
        <v>122</v>
      </c>
      <c r="C2" s="123" t="s">
        <v>796</v>
      </c>
      <c r="D2" s="123" t="s">
        <v>797</v>
      </c>
      <c r="E2" s="109" t="s">
        <v>324</v>
      </c>
      <c r="F2" s="123" t="s">
        <v>393</v>
      </c>
      <c r="G2" s="123" t="s">
        <v>393</v>
      </c>
      <c r="H2" s="123" t="s">
        <v>364</v>
      </c>
      <c r="I2" s="123" t="s">
        <v>364</v>
      </c>
      <c r="J2" s="123" t="s">
        <v>393</v>
      </c>
      <c r="K2" s="109" t="s">
        <v>311</v>
      </c>
      <c r="L2" s="109" t="s">
        <v>311</v>
      </c>
      <c r="M2" s="109" t="s">
        <v>324</v>
      </c>
      <c r="N2" s="123" t="s">
        <v>393</v>
      </c>
      <c r="O2" s="123" t="s">
        <v>382</v>
      </c>
      <c r="P2" s="109" t="s">
        <v>341</v>
      </c>
      <c r="Q2" s="123" t="s">
        <v>393</v>
      </c>
      <c r="R2" s="123" t="s">
        <v>404</v>
      </c>
      <c r="S2" s="123" t="s">
        <v>462</v>
      </c>
      <c r="T2" s="123" t="s">
        <v>465</v>
      </c>
      <c r="U2" s="123" t="s">
        <v>471</v>
      </c>
      <c r="V2" s="123" t="s">
        <v>502</v>
      </c>
      <c r="W2" s="123" t="s">
        <v>494</v>
      </c>
      <c r="X2" s="123" t="s">
        <v>507</v>
      </c>
      <c r="Y2" s="123" t="s">
        <v>477</v>
      </c>
      <c r="Z2" s="123" t="s">
        <v>835</v>
      </c>
      <c r="AA2" s="123" t="s">
        <v>474</v>
      </c>
      <c r="AB2" s="123" t="s">
        <v>480</v>
      </c>
      <c r="AC2" s="123" t="s">
        <v>516</v>
      </c>
      <c r="AD2" s="123" t="s">
        <v>521</v>
      </c>
      <c r="AE2" s="123" t="s">
        <v>517</v>
      </c>
      <c r="AF2" s="123" t="s">
        <v>516</v>
      </c>
      <c r="AG2" s="123" t="s">
        <v>585</v>
      </c>
      <c r="AH2" s="123" t="s">
        <v>677</v>
      </c>
      <c r="AI2" s="123" t="s">
        <v>679</v>
      </c>
      <c r="AJ2" s="123" t="s">
        <v>683</v>
      </c>
      <c r="AK2" s="123" t="s">
        <v>589</v>
      </c>
      <c r="AL2" s="123" t="s">
        <v>590</v>
      </c>
      <c r="AM2" s="123" t="s">
        <v>679</v>
      </c>
      <c r="AN2" s="123" t="s">
        <v>603</v>
      </c>
      <c r="AO2" s="123" t="s">
        <v>605</v>
      </c>
      <c r="AP2" s="123" t="s">
        <v>603</v>
      </c>
      <c r="AQ2" s="123" t="s">
        <v>608</v>
      </c>
      <c r="AR2" s="123" t="s">
        <v>603</v>
      </c>
      <c r="AS2" s="123" t="s">
        <v>612</v>
      </c>
      <c r="AT2" s="123" t="s">
        <v>646</v>
      </c>
      <c r="AU2" s="123" t="s">
        <v>896</v>
      </c>
      <c r="AV2" s="123" t="s">
        <v>619</v>
      </c>
      <c r="AW2" s="123" t="s">
        <v>535</v>
      </c>
      <c r="AX2" s="123" t="s">
        <v>747</v>
      </c>
      <c r="AY2" s="123" t="s">
        <v>618</v>
      </c>
      <c r="AZ2" s="123" t="s">
        <v>653</v>
      </c>
      <c r="BA2" s="123" t="s">
        <v>959</v>
      </c>
      <c r="BB2" s="123" t="s">
        <v>667</v>
      </c>
      <c r="BC2" s="123" t="s">
        <v>709</v>
      </c>
      <c r="BD2" s="123" t="s">
        <v>710</v>
      </c>
      <c r="BE2" s="123" t="s">
        <v>669</v>
      </c>
      <c r="BF2" s="123" t="s">
        <v>660</v>
      </c>
      <c r="BG2" s="123" t="s">
        <v>660</v>
      </c>
      <c r="BH2" s="123" t="s">
        <v>673</v>
      </c>
      <c r="BI2" s="123" t="s">
        <v>631</v>
      </c>
      <c r="BJ2" s="123" t="s">
        <v>689</v>
      </c>
      <c r="BK2" s="123" t="s">
        <v>695</v>
      </c>
      <c r="BL2" s="123" t="s">
        <v>695</v>
      </c>
      <c r="BM2" s="123" t="s">
        <v>700</v>
      </c>
      <c r="BN2" s="123" t="s">
        <v>690</v>
      </c>
      <c r="BO2" s="123" t="s">
        <v>691</v>
      </c>
      <c r="BP2" s="123" t="s">
        <v>736</v>
      </c>
      <c r="BQ2" s="123" t="s">
        <v>739</v>
      </c>
      <c r="BR2" s="123" t="s">
        <v>725</v>
      </c>
      <c r="BS2" s="123" t="s">
        <v>701</v>
      </c>
      <c r="BT2" s="123" t="s">
        <v>787</v>
      </c>
      <c r="BU2" s="123" t="s">
        <v>868</v>
      </c>
      <c r="BV2" s="123" t="s">
        <v>831</v>
      </c>
      <c r="BW2" s="123" t="s">
        <v>802</v>
      </c>
      <c r="BX2" s="123" t="s">
        <v>803</v>
      </c>
      <c r="BY2" s="123" t="s">
        <v>806</v>
      </c>
      <c r="BZ2" s="123" t="s">
        <v>848</v>
      </c>
      <c r="CA2" s="123" t="s">
        <v>848</v>
      </c>
      <c r="CB2" s="123" t="s">
        <v>889</v>
      </c>
      <c r="CC2" s="123" t="s">
        <v>889</v>
      </c>
      <c r="CD2" s="123" t="s">
        <v>871</v>
      </c>
      <c r="CE2" s="123" t="s">
        <v>826</v>
      </c>
      <c r="CF2" s="123" t="s">
        <v>857</v>
      </c>
      <c r="CG2" s="123" t="s">
        <v>861</v>
      </c>
      <c r="CH2" s="123" t="s">
        <v>979</v>
      </c>
      <c r="CI2" s="123" t="s">
        <v>859</v>
      </c>
      <c r="CJ2" s="123" t="s">
        <v>925</v>
      </c>
      <c r="CK2" s="123" t="s">
        <v>1016</v>
      </c>
      <c r="CL2" s="123" t="s">
        <v>933</v>
      </c>
      <c r="CM2" s="123" t="s">
        <v>934</v>
      </c>
      <c r="CN2" s="123" t="s">
        <v>902</v>
      </c>
      <c r="CO2" s="123" t="s">
        <v>1065</v>
      </c>
      <c r="CP2" s="123" t="s">
        <v>920</v>
      </c>
      <c r="CQ2" s="123" t="s">
        <v>921</v>
      </c>
      <c r="CR2" s="123" t="s">
        <v>956</v>
      </c>
      <c r="CS2" s="123" t="s">
        <v>1041</v>
      </c>
      <c r="CT2" s="123" t="s">
        <v>951</v>
      </c>
      <c r="CU2" s="123" t="s">
        <v>1017</v>
      </c>
      <c r="CV2" s="123" t="s">
        <v>974</v>
      </c>
      <c r="CW2" s="123" t="s">
        <v>1040</v>
      </c>
      <c r="CX2" s="38"/>
      <c r="CY2" s="38" t="s">
        <v>127</v>
      </c>
      <c r="CZ2" s="38"/>
      <c r="DA2" s="38"/>
      <c r="DB2" s="38"/>
      <c r="DC2" s="38"/>
      <c r="DD2" s="38"/>
      <c r="DE2" s="38"/>
      <c r="DF2" s="38"/>
      <c r="DG2" s="38"/>
      <c r="DH2" s="38"/>
      <c r="DI2" s="24"/>
      <c r="DJ2" s="24"/>
      <c r="DK2" s="24"/>
      <c r="DL2" s="24"/>
      <c r="DM2" s="24"/>
      <c r="DN2" s="24"/>
      <c r="DO2" s="24"/>
      <c r="DP2" s="38"/>
      <c r="DQ2" s="24"/>
      <c r="DR2" s="38"/>
      <c r="DS2" s="38"/>
      <c r="DT2" s="38"/>
      <c r="DU2" s="38"/>
      <c r="DV2" s="38"/>
      <c r="DW2" s="38"/>
      <c r="DX2" s="38"/>
      <c r="DY2" s="50"/>
      <c r="DZ2" s="24"/>
      <c r="EA2" s="38"/>
      <c r="EB2" s="24"/>
      <c r="EC2" s="24"/>
      <c r="ED2" s="1"/>
      <c r="EE2" s="24"/>
      <c r="EF2" s="24"/>
      <c r="EG2" s="24"/>
      <c r="EH2" s="38"/>
      <c r="EI2" s="38"/>
      <c r="EJ2" s="38"/>
      <c r="EK2" s="24"/>
      <c r="EL2" s="24"/>
      <c r="EM2" s="24"/>
      <c r="EN2" s="24"/>
      <c r="EO2" s="24"/>
      <c r="EP2" s="24"/>
      <c r="EQ2" s="24"/>
    </row>
    <row r="3" spans="3:140" ht="12.75">
      <c r="C3" s="214" t="s">
        <v>620</v>
      </c>
      <c r="D3" s="214" t="s">
        <v>798</v>
      </c>
      <c r="E3" s="133">
        <v>2009</v>
      </c>
      <c r="F3" s="214" t="s">
        <v>398</v>
      </c>
      <c r="G3" s="214" t="s">
        <v>395</v>
      </c>
      <c r="H3" s="214" t="s">
        <v>365</v>
      </c>
      <c r="I3" s="214" t="s">
        <v>365</v>
      </c>
      <c r="J3" s="214" t="s">
        <v>397</v>
      </c>
      <c r="K3" s="214" t="s">
        <v>360</v>
      </c>
      <c r="L3" s="133" t="s">
        <v>312</v>
      </c>
      <c r="M3" s="133">
        <v>2010</v>
      </c>
      <c r="N3" s="214" t="s">
        <v>394</v>
      </c>
      <c r="O3" s="214" t="s">
        <v>383</v>
      </c>
      <c r="P3" s="133" t="s">
        <v>342</v>
      </c>
      <c r="Q3" s="214" t="s">
        <v>396</v>
      </c>
      <c r="R3" s="214" t="s">
        <v>405</v>
      </c>
      <c r="S3" s="214" t="s">
        <v>463</v>
      </c>
      <c r="T3" s="214" t="s">
        <v>466</v>
      </c>
      <c r="U3" s="214" t="s">
        <v>472</v>
      </c>
      <c r="V3" s="214" t="s">
        <v>503</v>
      </c>
      <c r="W3" s="214" t="s">
        <v>495</v>
      </c>
      <c r="X3" s="214" t="s">
        <v>508</v>
      </c>
      <c r="Y3" s="214" t="s">
        <v>475</v>
      </c>
      <c r="Z3" s="214"/>
      <c r="AA3" s="214" t="s">
        <v>475</v>
      </c>
      <c r="AB3" s="214" t="s">
        <v>475</v>
      </c>
      <c r="AC3" s="214"/>
      <c r="AD3" s="214" t="s">
        <v>475</v>
      </c>
      <c r="AE3" s="214" t="s">
        <v>518</v>
      </c>
      <c r="AF3" s="214"/>
      <c r="AG3" s="214"/>
      <c r="AH3" s="214"/>
      <c r="AI3" s="214"/>
      <c r="AJ3" s="214" t="s">
        <v>684</v>
      </c>
      <c r="AK3" s="214"/>
      <c r="AL3" s="214" t="s">
        <v>591</v>
      </c>
      <c r="AM3" s="214"/>
      <c r="AN3" s="214" t="s">
        <v>604</v>
      </c>
      <c r="AO3" s="214"/>
      <c r="AP3" s="214" t="s">
        <v>604</v>
      </c>
      <c r="AQ3" s="214"/>
      <c r="AR3" s="214" t="s">
        <v>604</v>
      </c>
      <c r="AS3" s="214"/>
      <c r="AT3" s="214" t="s">
        <v>647</v>
      </c>
      <c r="AU3" s="214" t="s">
        <v>897</v>
      </c>
      <c r="AV3" s="214" t="s">
        <v>620</v>
      </c>
      <c r="AW3" s="214" t="s">
        <v>29</v>
      </c>
      <c r="AX3" s="214"/>
      <c r="AY3" s="214" t="s">
        <v>475</v>
      </c>
      <c r="AZ3" s="214" t="s">
        <v>472</v>
      </c>
      <c r="BA3" s="214"/>
      <c r="BB3" s="214" t="s">
        <v>475</v>
      </c>
      <c r="BC3" s="214" t="s">
        <v>472</v>
      </c>
      <c r="BD3" s="214"/>
      <c r="BE3" s="214" t="s">
        <v>475</v>
      </c>
      <c r="BF3" s="214"/>
      <c r="BG3" s="214"/>
      <c r="BH3" s="214" t="s">
        <v>674</v>
      </c>
      <c r="BI3" s="214" t="s">
        <v>632</v>
      </c>
      <c r="BJ3" s="214"/>
      <c r="BK3" s="214" t="s">
        <v>472</v>
      </c>
      <c r="BL3" s="214" t="s">
        <v>696</v>
      </c>
      <c r="BM3" s="214" t="s">
        <v>696</v>
      </c>
      <c r="BN3" s="214"/>
      <c r="BO3" s="214"/>
      <c r="BP3" s="214" t="s">
        <v>737</v>
      </c>
      <c r="BQ3" s="214" t="s">
        <v>740</v>
      </c>
      <c r="BR3" s="214"/>
      <c r="BS3" s="214" t="s">
        <v>702</v>
      </c>
      <c r="BT3" s="214"/>
      <c r="BU3" s="214" t="s">
        <v>869</v>
      </c>
      <c r="BV3" s="214" t="s">
        <v>832</v>
      </c>
      <c r="BW3" s="214" t="s">
        <v>798</v>
      </c>
      <c r="BX3" s="214" t="s">
        <v>696</v>
      </c>
      <c r="BY3" s="214" t="s">
        <v>807</v>
      </c>
      <c r="BZ3" s="214" t="s">
        <v>849</v>
      </c>
      <c r="CA3" s="214" t="s">
        <v>849</v>
      </c>
      <c r="CB3" s="214" t="s">
        <v>1044</v>
      </c>
      <c r="CC3" s="214"/>
      <c r="CD3" s="214" t="s">
        <v>475</v>
      </c>
      <c r="CE3" s="214" t="s">
        <v>827</v>
      </c>
      <c r="CF3" s="214" t="s">
        <v>858</v>
      </c>
      <c r="CG3" s="214" t="s">
        <v>862</v>
      </c>
      <c r="CH3" s="214" t="s">
        <v>980</v>
      </c>
      <c r="CI3" s="214" t="s">
        <v>860</v>
      </c>
      <c r="CJ3" s="214" t="s">
        <v>926</v>
      </c>
      <c r="CK3" s="214"/>
      <c r="CL3" s="214"/>
      <c r="CM3" s="214"/>
      <c r="CN3" s="214" t="s">
        <v>858</v>
      </c>
      <c r="CO3" s="214" t="s">
        <v>1066</v>
      </c>
      <c r="CP3" s="214"/>
      <c r="CQ3" s="214"/>
      <c r="CR3" s="214"/>
      <c r="CS3" s="214"/>
      <c r="CT3" s="214" t="s">
        <v>952</v>
      </c>
      <c r="CU3" s="214"/>
      <c r="CV3" s="214" t="s">
        <v>975</v>
      </c>
      <c r="CW3" s="214"/>
      <c r="CX3" s="1"/>
      <c r="CY3" s="1" t="s">
        <v>128</v>
      </c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V3" s="1"/>
      <c r="EA3" s="1"/>
      <c r="EB3" s="1"/>
      <c r="EC3" s="1"/>
      <c r="ED3" s="1"/>
      <c r="EG3" s="1"/>
      <c r="EI3" s="1"/>
      <c r="EJ3" s="1"/>
    </row>
    <row r="4" spans="3:140" ht="12.75">
      <c r="C4" s="194">
        <v>39222</v>
      </c>
      <c r="D4" s="194">
        <v>39333</v>
      </c>
      <c r="E4" s="213" t="s">
        <v>329</v>
      </c>
      <c r="F4" s="194">
        <v>40128</v>
      </c>
      <c r="G4" s="194">
        <v>40135</v>
      </c>
      <c r="H4" s="194">
        <v>40159</v>
      </c>
      <c r="I4" s="194">
        <v>40160</v>
      </c>
      <c r="J4" s="194">
        <v>40163</v>
      </c>
      <c r="K4" s="194">
        <v>40174</v>
      </c>
      <c r="L4" s="194">
        <v>40180</v>
      </c>
      <c r="M4" s="208" t="s">
        <v>325</v>
      </c>
      <c r="N4" s="194">
        <v>40191</v>
      </c>
      <c r="O4" s="194" t="s">
        <v>384</v>
      </c>
      <c r="P4" s="208" t="s">
        <v>343</v>
      </c>
      <c r="Q4" s="194">
        <v>40240</v>
      </c>
      <c r="R4" s="194">
        <v>40244</v>
      </c>
      <c r="S4" s="208">
        <v>40275</v>
      </c>
      <c r="T4" s="208">
        <v>40277</v>
      </c>
      <c r="U4" s="208">
        <v>40278</v>
      </c>
      <c r="V4" s="208">
        <v>40285</v>
      </c>
      <c r="W4" s="208">
        <v>40286</v>
      </c>
      <c r="X4" s="208">
        <v>40292</v>
      </c>
      <c r="Y4" s="208">
        <v>40293</v>
      </c>
      <c r="Z4" s="241">
        <v>2010</v>
      </c>
      <c r="AA4" s="208">
        <v>40299</v>
      </c>
      <c r="AB4" s="208">
        <v>40300</v>
      </c>
      <c r="AC4" s="208">
        <v>40306</v>
      </c>
      <c r="AD4" s="208">
        <v>40306</v>
      </c>
      <c r="AE4" s="208">
        <v>40307</v>
      </c>
      <c r="AF4" s="208">
        <v>40307</v>
      </c>
      <c r="AG4" s="208">
        <v>40311</v>
      </c>
      <c r="AH4" s="208">
        <v>40311</v>
      </c>
      <c r="AI4" s="208">
        <v>40313</v>
      </c>
      <c r="AJ4" s="208">
        <v>40313</v>
      </c>
      <c r="AK4" s="208">
        <v>40313</v>
      </c>
      <c r="AL4" s="208">
        <v>40313</v>
      </c>
      <c r="AM4" s="208">
        <v>40314</v>
      </c>
      <c r="AN4" s="208">
        <v>40320</v>
      </c>
      <c r="AO4" s="208">
        <v>40320</v>
      </c>
      <c r="AP4" s="208">
        <v>40321</v>
      </c>
      <c r="AQ4" s="208">
        <v>40321</v>
      </c>
      <c r="AR4" s="208">
        <v>40322</v>
      </c>
      <c r="AS4" s="208">
        <v>40322</v>
      </c>
      <c r="AT4" s="208" t="s">
        <v>648</v>
      </c>
      <c r="AU4" s="194">
        <v>40328</v>
      </c>
      <c r="AV4" s="208">
        <v>40328</v>
      </c>
      <c r="AW4" s="208">
        <v>40334</v>
      </c>
      <c r="AX4" s="208">
        <v>40335</v>
      </c>
      <c r="AY4" s="208">
        <v>40341</v>
      </c>
      <c r="AZ4" s="208">
        <v>40342</v>
      </c>
      <c r="BA4" s="194">
        <v>40342</v>
      </c>
      <c r="BB4" s="208">
        <v>40348</v>
      </c>
      <c r="BC4" s="208">
        <v>40348</v>
      </c>
      <c r="BD4" s="208">
        <v>40349</v>
      </c>
      <c r="BE4" s="208">
        <v>40349</v>
      </c>
      <c r="BF4" s="208">
        <v>40354</v>
      </c>
      <c r="BG4" s="208">
        <v>40355</v>
      </c>
      <c r="BH4" s="208" t="s">
        <v>675</v>
      </c>
      <c r="BI4" s="208">
        <v>40359</v>
      </c>
      <c r="BJ4" s="208">
        <v>40361</v>
      </c>
      <c r="BK4" s="208">
        <v>40361</v>
      </c>
      <c r="BL4" s="194" t="s">
        <v>697</v>
      </c>
      <c r="BM4" s="194" t="s">
        <v>697</v>
      </c>
      <c r="BN4" s="208">
        <v>40362</v>
      </c>
      <c r="BO4" s="208">
        <v>40363</v>
      </c>
      <c r="BP4" s="208">
        <v>40367</v>
      </c>
      <c r="BQ4" s="194" t="s">
        <v>741</v>
      </c>
      <c r="BR4" s="208">
        <v>40370</v>
      </c>
      <c r="BS4" s="194" t="s">
        <v>703</v>
      </c>
      <c r="BT4" s="194" t="s">
        <v>788</v>
      </c>
      <c r="BU4" s="194">
        <v>40405</v>
      </c>
      <c r="BV4" s="194">
        <v>40411</v>
      </c>
      <c r="BW4" s="194">
        <v>40412</v>
      </c>
      <c r="BX4" s="194">
        <v>40412</v>
      </c>
      <c r="BY4" s="194">
        <v>40418</v>
      </c>
      <c r="BZ4" s="194">
        <v>40418</v>
      </c>
      <c r="CA4" s="194">
        <v>40419</v>
      </c>
      <c r="CB4" s="194">
        <v>40422</v>
      </c>
      <c r="CC4" s="194">
        <v>40424</v>
      </c>
      <c r="CD4" s="194">
        <v>40425</v>
      </c>
      <c r="CE4" s="194">
        <v>40426</v>
      </c>
      <c r="CF4" s="194">
        <v>40432</v>
      </c>
      <c r="CG4" s="194">
        <v>40432</v>
      </c>
      <c r="CH4" s="194">
        <v>40432</v>
      </c>
      <c r="CI4" s="194">
        <v>40433</v>
      </c>
      <c r="CJ4" s="194">
        <v>40433</v>
      </c>
      <c r="CK4" s="194">
        <v>40440</v>
      </c>
      <c r="CL4" s="194">
        <v>40446</v>
      </c>
      <c r="CM4" s="194">
        <v>40447</v>
      </c>
      <c r="CN4" s="194">
        <v>40439</v>
      </c>
      <c r="CO4" s="194" t="s">
        <v>1067</v>
      </c>
      <c r="CP4" s="194">
        <v>40454</v>
      </c>
      <c r="CQ4" s="194">
        <v>40460</v>
      </c>
      <c r="CR4" s="194">
        <v>40467</v>
      </c>
      <c r="CS4" s="194">
        <v>40478</v>
      </c>
      <c r="CT4" s="194" t="s">
        <v>953</v>
      </c>
      <c r="CU4" s="194">
        <v>40489</v>
      </c>
      <c r="CV4" s="194">
        <v>40492</v>
      </c>
      <c r="CW4" s="194">
        <v>40499</v>
      </c>
      <c r="CX4" s="14"/>
      <c r="CY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V4" s="1"/>
      <c r="EA4" s="1"/>
      <c r="EB4" s="1"/>
      <c r="EC4" s="1"/>
      <c r="ED4" s="1"/>
      <c r="EG4" s="1"/>
      <c r="EI4" s="1"/>
      <c r="EJ4" s="1"/>
    </row>
    <row r="5" spans="1:140" ht="12.75">
      <c r="A5" s="112" t="s">
        <v>281</v>
      </c>
      <c r="B5" s="109" t="s">
        <v>19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4"/>
      <c r="CY5" s="4">
        <f>SUM(C5:CX5)</f>
        <v>0</v>
      </c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V5" s="1"/>
      <c r="EA5" s="1"/>
      <c r="EB5" s="1"/>
      <c r="EC5" s="1"/>
      <c r="ED5" s="1"/>
      <c r="EG5" s="1"/>
      <c r="EI5" s="1"/>
      <c r="EJ5" s="1"/>
    </row>
    <row r="6" spans="1:140" ht="12.75">
      <c r="A6" s="112" t="s">
        <v>282</v>
      </c>
      <c r="B6" s="109" t="s">
        <v>19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4"/>
      <c r="CY6" s="4">
        <f aca="true" t="shared" si="0" ref="CY6:CY73">SUM(C6:CX6)</f>
        <v>0</v>
      </c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V6" s="1"/>
      <c r="EA6" s="1"/>
      <c r="EB6" s="1"/>
      <c r="EC6" s="1"/>
      <c r="ED6" s="1"/>
      <c r="EG6" s="1"/>
      <c r="EI6" s="1"/>
      <c r="EJ6" s="1"/>
    </row>
    <row r="7" spans="1:149" ht="12.75">
      <c r="A7" s="2" t="s">
        <v>154</v>
      </c>
      <c r="B7" s="127" t="s">
        <v>152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>
        <v>1</v>
      </c>
      <c r="AG7" s="40"/>
      <c r="AH7" s="40"/>
      <c r="AI7" s="40"/>
      <c r="AJ7" s="40"/>
      <c r="AK7" s="40">
        <v>1</v>
      </c>
      <c r="AL7" s="40"/>
      <c r="AM7" s="40"/>
      <c r="AN7" s="40"/>
      <c r="AO7" s="40"/>
      <c r="AP7" s="40"/>
      <c r="AQ7" s="40">
        <v>1</v>
      </c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"/>
      <c r="CY7" s="4">
        <f t="shared" si="0"/>
        <v>3</v>
      </c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O7" s="47"/>
      <c r="ES7" s="47"/>
    </row>
    <row r="8" spans="1:149" ht="12.75">
      <c r="A8" s="2" t="s">
        <v>156</v>
      </c>
      <c r="B8" s="127" t="s">
        <v>152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>
        <v>1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"/>
      <c r="CY8" s="4">
        <f t="shared" si="0"/>
        <v>1</v>
      </c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O8" s="47"/>
      <c r="ES8" s="47"/>
    </row>
    <row r="9" spans="1:149" ht="12.75">
      <c r="A9" s="2" t="s">
        <v>155</v>
      </c>
      <c r="B9" s="127" t="s">
        <v>152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>
        <v>1</v>
      </c>
      <c r="AL9" s="40"/>
      <c r="AM9" s="40"/>
      <c r="AN9" s="40"/>
      <c r="AO9" s="40"/>
      <c r="AP9" s="40"/>
      <c r="AQ9" s="40">
        <v>1</v>
      </c>
      <c r="AR9" s="40"/>
      <c r="AS9" s="40">
        <v>1</v>
      </c>
      <c r="AT9" s="40"/>
      <c r="AU9" s="40"/>
      <c r="AV9" s="40"/>
      <c r="AW9" s="40"/>
      <c r="AX9" s="40"/>
      <c r="AY9" s="40"/>
      <c r="AZ9" s="40">
        <v>1</v>
      </c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>
        <v>1</v>
      </c>
      <c r="CS9" s="40"/>
      <c r="CT9" s="40"/>
      <c r="CU9" s="40"/>
      <c r="CV9" s="40"/>
      <c r="CW9" s="40"/>
      <c r="CX9" s="4"/>
      <c r="CY9" s="4">
        <f t="shared" si="0"/>
        <v>5</v>
      </c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O9" s="47"/>
      <c r="ES9" s="47"/>
    </row>
    <row r="10" spans="1:149" ht="12.75">
      <c r="A10" s="2" t="s">
        <v>157</v>
      </c>
      <c r="B10" s="127" t="s">
        <v>152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>
        <v>1</v>
      </c>
      <c r="AG10" s="40"/>
      <c r="AH10" s="40"/>
      <c r="AI10" s="40"/>
      <c r="AJ10" s="40"/>
      <c r="AK10" s="40">
        <v>1</v>
      </c>
      <c r="AL10" s="40"/>
      <c r="AM10" s="40"/>
      <c r="AN10" s="40"/>
      <c r="AO10" s="40"/>
      <c r="AP10" s="40"/>
      <c r="AQ10" s="40">
        <v>1</v>
      </c>
      <c r="AR10" s="40"/>
      <c r="AS10" s="40"/>
      <c r="AT10" s="40"/>
      <c r="AU10" s="40"/>
      <c r="AV10" s="40"/>
      <c r="AW10" s="40"/>
      <c r="AX10" s="40"/>
      <c r="AY10" s="40"/>
      <c r="AZ10" s="40">
        <v>1</v>
      </c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>
        <v>1</v>
      </c>
      <c r="CS10" s="40"/>
      <c r="CT10" s="40"/>
      <c r="CU10" s="40"/>
      <c r="CV10" s="40"/>
      <c r="CW10" s="40"/>
      <c r="CX10" s="4"/>
      <c r="CY10" s="4">
        <f t="shared" si="0"/>
        <v>5</v>
      </c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O10" s="47"/>
      <c r="ES10" s="47"/>
    </row>
    <row r="11" spans="1:149" ht="12.75">
      <c r="A11" s="2" t="s">
        <v>177</v>
      </c>
      <c r="B11" s="127" t="s">
        <v>152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>
        <v>1</v>
      </c>
      <c r="Y11" s="4"/>
      <c r="Z11" s="4">
        <v>5</v>
      </c>
      <c r="AA11" s="4"/>
      <c r="AB11" s="4"/>
      <c r="AC11" s="4"/>
      <c r="AD11" s="4"/>
      <c r="AE11" s="4"/>
      <c r="AF11" s="4">
        <v>1</v>
      </c>
      <c r="AG11" s="4">
        <v>1</v>
      </c>
      <c r="AH11" s="4"/>
      <c r="AI11" s="4"/>
      <c r="AJ11" s="4"/>
      <c r="AK11" s="4">
        <v>1</v>
      </c>
      <c r="AL11" s="4"/>
      <c r="AM11" s="4"/>
      <c r="AN11" s="4"/>
      <c r="AO11" s="4"/>
      <c r="AP11" s="4"/>
      <c r="AQ11" s="4"/>
      <c r="AR11" s="4"/>
      <c r="AS11" s="4"/>
      <c r="AT11" s="4"/>
      <c r="AU11" s="4">
        <v>1</v>
      </c>
      <c r="AV11" s="4"/>
      <c r="AW11" s="4"/>
      <c r="AX11" s="4"/>
      <c r="AY11" s="4"/>
      <c r="AZ11" s="4">
        <v>1</v>
      </c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>
        <v>1</v>
      </c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>
        <v>1</v>
      </c>
      <c r="CS11" s="4"/>
      <c r="CT11" s="4"/>
      <c r="CU11" s="4"/>
      <c r="CV11" s="4"/>
      <c r="CW11" s="4"/>
      <c r="CX11" s="4"/>
      <c r="CY11" s="4">
        <f t="shared" si="0"/>
        <v>14</v>
      </c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9"/>
      <c r="DL11" s="49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O11" s="47"/>
      <c r="ES11" s="47"/>
    </row>
    <row r="12" spans="1:149" ht="12.75">
      <c r="A12" s="2" t="s">
        <v>213</v>
      </c>
      <c r="B12" s="127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</v>
      </c>
      <c r="V12" s="4">
        <v>1</v>
      </c>
      <c r="W12" s="4">
        <v>1</v>
      </c>
      <c r="X12" s="4">
        <v>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>
        <f t="shared" si="0"/>
        <v>4</v>
      </c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O12" s="47"/>
      <c r="ES12" s="47"/>
    </row>
    <row r="13" spans="1:149" ht="12.75">
      <c r="A13" s="114" t="s">
        <v>254</v>
      </c>
      <c r="B13" s="127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1</v>
      </c>
      <c r="V13" s="4">
        <v>1</v>
      </c>
      <c r="W13" s="4">
        <v>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>
        <v>1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>
        <v>1</v>
      </c>
      <c r="CE13" s="4"/>
      <c r="CF13" s="4"/>
      <c r="CG13" s="4"/>
      <c r="CH13" s="4"/>
      <c r="CI13" s="4"/>
      <c r="CJ13" s="4">
        <v>1</v>
      </c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>
        <f t="shared" si="0"/>
        <v>6</v>
      </c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9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O13" s="47"/>
      <c r="ES13" s="47"/>
    </row>
    <row r="14" spans="1:149" ht="12.75">
      <c r="A14" s="114" t="s">
        <v>231</v>
      </c>
      <c r="B14" s="115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>
        <v>1</v>
      </c>
      <c r="V14" s="40">
        <v>1</v>
      </c>
      <c r="W14" s="40">
        <v>1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>
        <v>1</v>
      </c>
      <c r="CE14" s="40"/>
      <c r="CF14" s="40"/>
      <c r="CG14" s="40"/>
      <c r="CH14" s="40"/>
      <c r="CI14" s="40"/>
      <c r="CJ14" s="40">
        <v>1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"/>
      <c r="CY14" s="4">
        <f t="shared" si="0"/>
        <v>5</v>
      </c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O14" s="47"/>
      <c r="ES14" s="47"/>
    </row>
    <row r="15" spans="1:149" ht="12.75">
      <c r="A15" s="2" t="s">
        <v>153</v>
      </c>
      <c r="B15" s="127" t="s">
        <v>21</v>
      </c>
      <c r="C15" s="40">
        <v>1</v>
      </c>
      <c r="D15" s="40">
        <v>1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>
        <v>1</v>
      </c>
      <c r="V15" s="40">
        <v>1</v>
      </c>
      <c r="W15" s="40">
        <v>1</v>
      </c>
      <c r="X15" s="40"/>
      <c r="Y15" s="40">
        <v>1</v>
      </c>
      <c r="Z15" s="40"/>
      <c r="AA15" s="40"/>
      <c r="AB15" s="40">
        <v>1</v>
      </c>
      <c r="AC15" s="40"/>
      <c r="AD15" s="40">
        <v>1</v>
      </c>
      <c r="AE15" s="40">
        <v>1</v>
      </c>
      <c r="AF15" s="40"/>
      <c r="AG15" s="40">
        <v>1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>
        <v>1</v>
      </c>
      <c r="AR15" s="40"/>
      <c r="AS15" s="40"/>
      <c r="AT15" s="40"/>
      <c r="AU15" s="40"/>
      <c r="AV15" s="40">
        <v>1</v>
      </c>
      <c r="AW15" s="40">
        <v>1</v>
      </c>
      <c r="AX15" s="40">
        <v>1</v>
      </c>
      <c r="AY15" s="40"/>
      <c r="AZ15" s="40">
        <v>1</v>
      </c>
      <c r="BA15" s="40"/>
      <c r="BB15" s="40"/>
      <c r="BC15" s="40">
        <v>1</v>
      </c>
      <c r="BD15" s="40">
        <v>1</v>
      </c>
      <c r="BE15" s="40"/>
      <c r="BF15" s="40">
        <v>1</v>
      </c>
      <c r="BG15" s="40">
        <v>1</v>
      </c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>
        <v>3</v>
      </c>
      <c r="BS15" s="40"/>
      <c r="BT15" s="40"/>
      <c r="BU15" s="40"/>
      <c r="BV15" s="40"/>
      <c r="BW15" s="40">
        <v>1</v>
      </c>
      <c r="BX15" s="40"/>
      <c r="BY15" s="40"/>
      <c r="BZ15" s="40">
        <v>1</v>
      </c>
      <c r="CA15" s="40">
        <v>1</v>
      </c>
      <c r="CB15" s="40"/>
      <c r="CC15" s="40">
        <v>1</v>
      </c>
      <c r="CD15" s="40">
        <v>1</v>
      </c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>
        <v>1</v>
      </c>
      <c r="CR15" s="40">
        <v>1</v>
      </c>
      <c r="CS15" s="40"/>
      <c r="CT15" s="40"/>
      <c r="CU15" s="40"/>
      <c r="CV15" s="40"/>
      <c r="CW15" s="40"/>
      <c r="CX15" s="4"/>
      <c r="CY15" s="4">
        <f t="shared" si="0"/>
        <v>29</v>
      </c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O15" s="47"/>
      <c r="ES15" s="47"/>
    </row>
    <row r="16" spans="1:149" ht="12.75">
      <c r="A16" s="2" t="s">
        <v>202</v>
      </c>
      <c r="B16" s="127" t="s">
        <v>21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>
        <v>1</v>
      </c>
      <c r="W16" s="40">
        <v>1</v>
      </c>
      <c r="X16" s="40"/>
      <c r="Y16" s="40">
        <v>1</v>
      </c>
      <c r="Z16" s="40"/>
      <c r="AA16" s="40"/>
      <c r="AB16" s="40">
        <v>1</v>
      </c>
      <c r="AC16" s="40"/>
      <c r="AD16" s="40">
        <v>1</v>
      </c>
      <c r="AE16" s="40">
        <v>1</v>
      </c>
      <c r="AF16" s="40"/>
      <c r="AG16" s="40">
        <v>1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>
        <v>1</v>
      </c>
      <c r="AR16" s="40"/>
      <c r="AS16" s="40">
        <v>1</v>
      </c>
      <c r="AT16" s="40"/>
      <c r="AU16" s="40"/>
      <c r="AV16" s="40">
        <v>1</v>
      </c>
      <c r="AW16" s="40"/>
      <c r="AX16" s="40"/>
      <c r="AY16" s="40"/>
      <c r="AZ16" s="40">
        <v>1</v>
      </c>
      <c r="BA16" s="40"/>
      <c r="BB16" s="40"/>
      <c r="BC16" s="40">
        <v>1</v>
      </c>
      <c r="BD16" s="40">
        <v>1</v>
      </c>
      <c r="BE16" s="40"/>
      <c r="BF16" s="40">
        <v>1</v>
      </c>
      <c r="BG16" s="40">
        <v>1</v>
      </c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>
        <v>3</v>
      </c>
      <c r="BS16" s="40"/>
      <c r="BT16" s="40"/>
      <c r="BU16" s="40"/>
      <c r="BV16" s="40"/>
      <c r="BW16" s="40">
        <v>1</v>
      </c>
      <c r="BX16" s="40"/>
      <c r="BY16" s="40"/>
      <c r="BZ16" s="40"/>
      <c r="CA16" s="40"/>
      <c r="CB16" s="40"/>
      <c r="CC16" s="40">
        <v>1</v>
      </c>
      <c r="CD16" s="40">
        <v>1</v>
      </c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"/>
      <c r="CY16" s="4">
        <f t="shared" si="0"/>
        <v>21</v>
      </c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O16" s="47"/>
      <c r="ES16" s="47"/>
    </row>
    <row r="17" spans="1:149" ht="12.75">
      <c r="A17" s="2" t="s">
        <v>65</v>
      </c>
      <c r="B17" s="127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</v>
      </c>
      <c r="AB17" s="4"/>
      <c r="AC17" s="4">
        <v>1</v>
      </c>
      <c r="AD17" s="4"/>
      <c r="AE17" s="4"/>
      <c r="AF17" s="4">
        <v>1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>
        <v>1</v>
      </c>
      <c r="AR17" s="4"/>
      <c r="AS17" s="4"/>
      <c r="AT17" s="4"/>
      <c r="AU17" s="4"/>
      <c r="AV17" s="4"/>
      <c r="AW17" s="4">
        <v>1</v>
      </c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>
        <f t="shared" si="0"/>
        <v>5</v>
      </c>
      <c r="CZ17" s="4"/>
      <c r="DA17" s="4"/>
      <c r="DB17" s="4"/>
      <c r="DC17" s="4"/>
      <c r="DD17" s="49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O17" s="47"/>
      <c r="ES17" s="47"/>
    </row>
    <row r="18" spans="1:103" ht="12.75">
      <c r="A18" s="110" t="s">
        <v>654</v>
      </c>
      <c r="B18" s="123" t="s">
        <v>21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v>1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4">
        <f t="shared" si="0"/>
        <v>1</v>
      </c>
    </row>
    <row r="19" spans="1:103" ht="12.75">
      <c r="A19" s="149" t="s">
        <v>536</v>
      </c>
      <c r="B19" s="123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>
        <v>1</v>
      </c>
      <c r="AR19" s="1"/>
      <c r="AS19" s="1"/>
      <c r="AT19" s="1"/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4">
        <f t="shared" si="0"/>
        <v>3</v>
      </c>
    </row>
    <row r="20" spans="1:103" ht="12.75">
      <c r="A20" s="114" t="s">
        <v>235</v>
      </c>
      <c r="B20" s="115" t="s">
        <v>21</v>
      </c>
      <c r="C20" s="1"/>
      <c r="D20" s="1"/>
      <c r="E20" s="1"/>
      <c r="F20" s="1"/>
      <c r="G20" s="1"/>
      <c r="H20" s="1">
        <v>2</v>
      </c>
      <c r="I20" s="1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1</v>
      </c>
      <c r="X20" s="1">
        <v>1</v>
      </c>
      <c r="Y20" s="1">
        <v>1</v>
      </c>
      <c r="Z20" s="1">
        <v>5</v>
      </c>
      <c r="AA20" s="1"/>
      <c r="AB20" s="1"/>
      <c r="AC20" s="1">
        <v>1</v>
      </c>
      <c r="AD20" s="1"/>
      <c r="AE20" s="1"/>
      <c r="AF20" s="1">
        <v>1</v>
      </c>
      <c r="AG20" s="1">
        <v>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>
        <v>1</v>
      </c>
      <c r="AT20" s="1"/>
      <c r="AU20" s="1">
        <v>1</v>
      </c>
      <c r="AV20" s="1"/>
      <c r="AW20" s="1">
        <v>1</v>
      </c>
      <c r="AX20" s="1"/>
      <c r="AY20" s="1"/>
      <c r="AZ20" s="1">
        <v>1</v>
      </c>
      <c r="BA20" s="1"/>
      <c r="BB20" s="1"/>
      <c r="BC20" s="1"/>
      <c r="BD20" s="1">
        <v>1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>
        <v>1</v>
      </c>
      <c r="BQ20" s="1">
        <v>3</v>
      </c>
      <c r="BR20" s="1"/>
      <c r="BS20" s="1"/>
      <c r="BT20" s="1">
        <v>2</v>
      </c>
      <c r="BU20" s="1"/>
      <c r="BV20" s="1"/>
      <c r="BW20" s="1"/>
      <c r="BX20" s="1"/>
      <c r="BY20" s="1"/>
      <c r="BZ20" s="1"/>
      <c r="CA20" s="1"/>
      <c r="CB20" s="1"/>
      <c r="CC20" s="1"/>
      <c r="CD20" s="1">
        <v>1</v>
      </c>
      <c r="CE20" s="1"/>
      <c r="CF20" s="1"/>
      <c r="CG20" s="1"/>
      <c r="CH20" s="1"/>
      <c r="CI20" s="1"/>
      <c r="CJ20" s="1"/>
      <c r="CK20" s="1">
        <v>1</v>
      </c>
      <c r="CL20" s="1"/>
      <c r="CM20" s="1"/>
      <c r="CN20" s="1"/>
      <c r="CO20" s="1"/>
      <c r="CP20" s="1"/>
      <c r="CQ20" s="1"/>
      <c r="CR20" s="1">
        <v>1</v>
      </c>
      <c r="CS20" s="1"/>
      <c r="CT20" s="1"/>
      <c r="CU20" s="1"/>
      <c r="CV20" s="1"/>
      <c r="CW20" s="1"/>
      <c r="CX20" s="1"/>
      <c r="CY20" s="4">
        <f t="shared" si="0"/>
        <v>28</v>
      </c>
    </row>
    <row r="21" spans="1:103" ht="12.75">
      <c r="A21" s="2" t="s">
        <v>881</v>
      </c>
      <c r="B21" s="123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>
        <v>1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1"/>
      <c r="CY21" s="4">
        <f t="shared" si="0"/>
        <v>1</v>
      </c>
    </row>
    <row r="22" spans="1:103" ht="12.75">
      <c r="A22" s="110" t="s">
        <v>266</v>
      </c>
      <c r="B22" s="109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4">
        <f t="shared" si="0"/>
        <v>0</v>
      </c>
    </row>
    <row r="23" spans="1:103" ht="12.75">
      <c r="A23" s="2" t="s">
        <v>57</v>
      </c>
      <c r="B23" s="127" t="s">
        <v>17</v>
      </c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1</v>
      </c>
      <c r="AC23" s="1"/>
      <c r="AD23" s="1"/>
      <c r="AE23" s="1">
        <v>1</v>
      </c>
      <c r="AF23" s="1"/>
      <c r="AG23" s="1"/>
      <c r="AH23" s="1"/>
      <c r="AI23" s="1"/>
      <c r="AJ23" s="1"/>
      <c r="AK23" s="1"/>
      <c r="AL23" s="1"/>
      <c r="AM23" s="1"/>
      <c r="AN23" s="1"/>
      <c r="AO23" s="1">
        <v>1</v>
      </c>
      <c r="AP23" s="1"/>
      <c r="AQ23" s="1">
        <v>1</v>
      </c>
      <c r="AR23" s="1"/>
      <c r="AS23" s="1"/>
      <c r="AT23" s="1"/>
      <c r="AU23" s="1"/>
      <c r="AV23" s="1">
        <v>1</v>
      </c>
      <c r="AW23" s="1"/>
      <c r="AX23" s="1"/>
      <c r="AY23" s="1"/>
      <c r="AZ23" s="1"/>
      <c r="BA23" s="1"/>
      <c r="BB23" s="1"/>
      <c r="BC23" s="1"/>
      <c r="BD23" s="1"/>
      <c r="BE23" s="1"/>
      <c r="BF23" s="1">
        <v>1</v>
      </c>
      <c r="BG23" s="1">
        <v>1</v>
      </c>
      <c r="BH23" s="1"/>
      <c r="BI23" s="1"/>
      <c r="BJ23" s="1"/>
      <c r="BK23" s="1">
        <v>1</v>
      </c>
      <c r="BL23" s="1">
        <v>2</v>
      </c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>
        <v>1</v>
      </c>
      <c r="CD23" s="1">
        <v>1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4">
        <f t="shared" si="0"/>
        <v>13</v>
      </c>
    </row>
    <row r="24" spans="1:103" ht="12.75">
      <c r="A24" s="149" t="s">
        <v>828</v>
      </c>
      <c r="B24" s="123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>
        <v>1</v>
      </c>
      <c r="CC24" s="1"/>
      <c r="CD24" s="1">
        <v>1</v>
      </c>
      <c r="CE24" s="1">
        <v>1</v>
      </c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4">
        <f>SUM(C24:CX24)</f>
        <v>3</v>
      </c>
    </row>
    <row r="25" spans="1:103" ht="12.75">
      <c r="A25" s="2" t="s">
        <v>131</v>
      </c>
      <c r="B25" s="127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5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 t="s">
        <v>15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>
        <v>1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>
        <v>2</v>
      </c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>
        <v>1</v>
      </c>
      <c r="CS25" s="1"/>
      <c r="CT25" s="1"/>
      <c r="CU25" s="1"/>
      <c r="CV25" s="1"/>
      <c r="CW25" s="1"/>
      <c r="CX25" s="1"/>
      <c r="CY25" s="4">
        <f t="shared" si="0"/>
        <v>9</v>
      </c>
    </row>
    <row r="26" spans="1:103" ht="12.75">
      <c r="A26" s="2" t="s">
        <v>214</v>
      </c>
      <c r="B26" s="127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4">
        <f t="shared" si="0"/>
        <v>0</v>
      </c>
    </row>
    <row r="27" spans="1:103" ht="12.75">
      <c r="A27" s="2" t="s">
        <v>130</v>
      </c>
      <c r="B27" s="127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1</v>
      </c>
      <c r="T27" s="1"/>
      <c r="U27" s="1"/>
      <c r="V27" s="1"/>
      <c r="W27" s="1">
        <v>1</v>
      </c>
      <c r="X27" s="1"/>
      <c r="Y27" s="1"/>
      <c r="Z27" s="1">
        <v>5</v>
      </c>
      <c r="AA27" s="1"/>
      <c r="AB27" s="1"/>
      <c r="AC27" s="1"/>
      <c r="AD27" s="1"/>
      <c r="AE27" s="1"/>
      <c r="AF27" s="1"/>
      <c r="AG27" s="1"/>
      <c r="AH27" s="1">
        <v>1</v>
      </c>
      <c r="AI27" s="1">
        <v>1</v>
      </c>
      <c r="AJ27" s="1"/>
      <c r="AK27" s="1"/>
      <c r="AL27" s="1"/>
      <c r="AM27" s="1">
        <v>1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>
        <v>1</v>
      </c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4">
        <f t="shared" si="0"/>
        <v>11</v>
      </c>
    </row>
    <row r="28" spans="1:103" ht="12.75">
      <c r="A28" s="149" t="s">
        <v>537</v>
      </c>
      <c r="B28" s="123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>
        <v>1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>
        <v>3</v>
      </c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>
        <v>1</v>
      </c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4">
        <f t="shared" si="0"/>
        <v>5</v>
      </c>
    </row>
    <row r="29" spans="1:103" ht="12.75">
      <c r="A29" s="112" t="s">
        <v>277</v>
      </c>
      <c r="B29" s="127" t="s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v>1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>
        <v>3</v>
      </c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>
        <v>1</v>
      </c>
      <c r="CE29" s="1"/>
      <c r="CF29" s="1"/>
      <c r="CG29" s="1"/>
      <c r="CH29" s="1">
        <v>1</v>
      </c>
      <c r="CI29" s="1"/>
      <c r="CJ29" s="1"/>
      <c r="CK29" s="1"/>
      <c r="CL29" s="1"/>
      <c r="CM29" s="1"/>
      <c r="CN29" s="1"/>
      <c r="CO29" s="1"/>
      <c r="CP29" s="1"/>
      <c r="CQ29" s="1"/>
      <c r="CR29" s="1">
        <v>1</v>
      </c>
      <c r="CS29" s="1"/>
      <c r="CT29" s="1"/>
      <c r="CU29" s="1"/>
      <c r="CV29" s="1"/>
      <c r="CW29" s="1"/>
      <c r="CX29" s="1"/>
      <c r="CY29" s="4">
        <f t="shared" si="0"/>
        <v>11</v>
      </c>
    </row>
    <row r="30" spans="1:103" ht="12.75">
      <c r="A30" s="149" t="s">
        <v>887</v>
      </c>
      <c r="B30" s="127" t="s">
        <v>18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3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v>1</v>
      </c>
      <c r="AX30" s="1"/>
      <c r="AY30" s="1"/>
      <c r="AZ30" s="1"/>
      <c r="BA30" s="1"/>
      <c r="BB30" s="1"/>
      <c r="BC30" s="1">
        <v>1</v>
      </c>
      <c r="BD30" s="1">
        <v>1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>
        <v>3</v>
      </c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>
        <v>1</v>
      </c>
      <c r="CE30" s="1"/>
      <c r="CF30" s="1"/>
      <c r="CG30" s="1"/>
      <c r="CH30" s="1">
        <v>1</v>
      </c>
      <c r="CI30" s="1"/>
      <c r="CJ30" s="1"/>
      <c r="CK30" s="1"/>
      <c r="CL30" s="1"/>
      <c r="CM30" s="1"/>
      <c r="CN30" s="1"/>
      <c r="CO30" s="1"/>
      <c r="CP30" s="1"/>
      <c r="CQ30" s="1"/>
      <c r="CR30" s="1">
        <v>1</v>
      </c>
      <c r="CS30" s="1"/>
      <c r="CT30" s="1"/>
      <c r="CU30" s="1"/>
      <c r="CV30" s="1"/>
      <c r="CW30" s="1"/>
      <c r="CX30" s="1"/>
      <c r="CY30" s="4">
        <f t="shared" si="0"/>
        <v>12</v>
      </c>
    </row>
    <row r="31" spans="1:140" ht="12.75">
      <c r="A31" s="149" t="s">
        <v>880</v>
      </c>
      <c r="B31" s="109" t="s">
        <v>19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">
        <v>1</v>
      </c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4"/>
      <c r="CY31" s="4">
        <f t="shared" si="0"/>
        <v>1</v>
      </c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V31" s="1"/>
      <c r="EA31" s="1"/>
      <c r="EB31" s="1"/>
      <c r="EC31" s="1"/>
      <c r="ED31" s="1"/>
      <c r="EG31" s="1"/>
      <c r="EI31" s="1"/>
      <c r="EJ31" s="1"/>
    </row>
    <row r="32" spans="1:103" ht="12.75">
      <c r="A32" s="114" t="s">
        <v>190</v>
      </c>
      <c r="B32" s="115" t="s">
        <v>21</v>
      </c>
      <c r="C32" s="1"/>
      <c r="D32" s="1"/>
      <c r="E32" s="1">
        <v>2</v>
      </c>
      <c r="F32" s="1"/>
      <c r="G32" s="1"/>
      <c r="H32" s="1">
        <v>2</v>
      </c>
      <c r="I32" s="1">
        <v>1</v>
      </c>
      <c r="J32" s="1"/>
      <c r="K32" s="1">
        <v>1</v>
      </c>
      <c r="L32" s="1">
        <v>1</v>
      </c>
      <c r="M32" s="1">
        <v>1</v>
      </c>
      <c r="N32" s="1"/>
      <c r="O32" s="1"/>
      <c r="P32" s="1">
        <v>2</v>
      </c>
      <c r="Q32" s="1"/>
      <c r="R32" s="1">
        <v>1</v>
      </c>
      <c r="S32" s="1">
        <v>1</v>
      </c>
      <c r="T32" s="1">
        <v>1</v>
      </c>
      <c r="U32" s="1"/>
      <c r="V32" s="1"/>
      <c r="W32" s="1">
        <v>1</v>
      </c>
      <c r="X32" s="1">
        <v>1</v>
      </c>
      <c r="Y32" s="1"/>
      <c r="Z32" s="1">
        <v>5</v>
      </c>
      <c r="AA32" s="1"/>
      <c r="AB32" s="1"/>
      <c r="AC32" s="1">
        <v>1</v>
      </c>
      <c r="AD32" s="1"/>
      <c r="AE32" s="1"/>
      <c r="AF32" s="1"/>
      <c r="AG32" s="1"/>
      <c r="AH32" s="1">
        <v>1</v>
      </c>
      <c r="AI32" s="1">
        <v>1</v>
      </c>
      <c r="AJ32" s="1"/>
      <c r="AK32" s="1"/>
      <c r="AL32" s="1"/>
      <c r="AM32" s="1">
        <v>1</v>
      </c>
      <c r="AN32" s="1"/>
      <c r="AO32" s="1"/>
      <c r="AP32" s="1"/>
      <c r="AQ32" s="1"/>
      <c r="AR32" s="1"/>
      <c r="AS32" s="1"/>
      <c r="AT32" s="1">
        <v>3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>
        <v>2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>
        <v>1</v>
      </c>
      <c r="BZ32" s="1"/>
      <c r="CA32" s="1"/>
      <c r="CB32" s="1">
        <v>1</v>
      </c>
      <c r="CC32" s="1"/>
      <c r="CD32" s="1">
        <v>1</v>
      </c>
      <c r="CE32" s="1">
        <v>1</v>
      </c>
      <c r="CF32" s="1">
        <v>1</v>
      </c>
      <c r="CG32" s="1"/>
      <c r="CH32" s="1"/>
      <c r="CI32" s="1"/>
      <c r="CJ32" s="1"/>
      <c r="CK32" s="1"/>
      <c r="CL32" s="1"/>
      <c r="CM32" s="1"/>
      <c r="CN32" s="1">
        <v>1</v>
      </c>
      <c r="CO32" s="1">
        <v>2</v>
      </c>
      <c r="CP32" s="1"/>
      <c r="CQ32" s="1"/>
      <c r="CR32" s="1">
        <v>1</v>
      </c>
      <c r="CS32" s="1"/>
      <c r="CT32" s="1"/>
      <c r="CU32" s="1"/>
      <c r="CV32" s="1"/>
      <c r="CW32" s="1"/>
      <c r="CX32" s="1"/>
      <c r="CY32" s="4">
        <f t="shared" si="0"/>
        <v>38</v>
      </c>
    </row>
    <row r="33" spans="1:103" ht="12.75">
      <c r="A33" s="114" t="s">
        <v>103</v>
      </c>
      <c r="B33" s="115" t="s">
        <v>21</v>
      </c>
      <c r="C33" s="1"/>
      <c r="D33" s="1"/>
      <c r="E33" s="1"/>
      <c r="F33" s="1"/>
      <c r="G33" s="1"/>
      <c r="H33" s="1">
        <v>2</v>
      </c>
      <c r="I33" s="1">
        <v>1</v>
      </c>
      <c r="J33" s="1"/>
      <c r="K33" s="1"/>
      <c r="L33" s="1"/>
      <c r="M33" s="1">
        <v>1</v>
      </c>
      <c r="N33" s="1"/>
      <c r="O33" s="1"/>
      <c r="P33" s="1"/>
      <c r="Q33" s="1"/>
      <c r="R33" s="1"/>
      <c r="S33" s="1"/>
      <c r="T33" s="1"/>
      <c r="U33" s="1"/>
      <c r="V33" s="1">
        <v>1</v>
      </c>
      <c r="W33" s="1">
        <v>1</v>
      </c>
      <c r="X33" s="1">
        <v>1</v>
      </c>
      <c r="Y33" s="1"/>
      <c r="Z33" s="1">
        <v>5</v>
      </c>
      <c r="AA33" s="1"/>
      <c r="AB33" s="1"/>
      <c r="AC33" s="1"/>
      <c r="AD33" s="1"/>
      <c r="AE33" s="1"/>
      <c r="AF33" s="1">
        <v>1</v>
      </c>
      <c r="AG33" s="1">
        <v>1</v>
      </c>
      <c r="AH33" s="1"/>
      <c r="AI33" s="1"/>
      <c r="AJ33" s="1"/>
      <c r="AK33" s="1">
        <v>1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>
        <v>1</v>
      </c>
      <c r="AX33" s="1"/>
      <c r="AY33" s="1"/>
      <c r="AZ33" s="1"/>
      <c r="BA33" s="1"/>
      <c r="BB33" s="1"/>
      <c r="BC33" s="1"/>
      <c r="BD33" s="1"/>
      <c r="BE33" s="1"/>
      <c r="BF33" s="1">
        <v>1</v>
      </c>
      <c r="BG33" s="1">
        <v>1</v>
      </c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>
        <v>1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v>1</v>
      </c>
      <c r="CQ33" s="1"/>
      <c r="CR33" s="1"/>
      <c r="CS33" s="1"/>
      <c r="CT33" s="1"/>
      <c r="CU33" s="1"/>
      <c r="CV33" s="1"/>
      <c r="CW33" s="1"/>
      <c r="CX33" s="1"/>
      <c r="CY33" s="4">
        <f t="shared" si="0"/>
        <v>20</v>
      </c>
    </row>
    <row r="34" spans="1:103" ht="12.75">
      <c r="A34" s="114" t="s">
        <v>104</v>
      </c>
      <c r="B34" s="115" t="s">
        <v>21</v>
      </c>
      <c r="C34" s="1"/>
      <c r="D34" s="1"/>
      <c r="E34" s="1">
        <v>2</v>
      </c>
      <c r="F34" s="1"/>
      <c r="G34" s="1"/>
      <c r="H34" s="1">
        <v>2</v>
      </c>
      <c r="I34" s="1">
        <v>1</v>
      </c>
      <c r="J34" s="1"/>
      <c r="K34" s="1">
        <v>1</v>
      </c>
      <c r="L34" s="1">
        <v>1</v>
      </c>
      <c r="M34" s="1">
        <v>2</v>
      </c>
      <c r="N34" s="1"/>
      <c r="O34" s="1"/>
      <c r="P34" s="1"/>
      <c r="Q34" s="1"/>
      <c r="R34" s="1"/>
      <c r="S34" s="1">
        <v>1</v>
      </c>
      <c r="T34" s="1"/>
      <c r="U34" s="1"/>
      <c r="V34" s="1"/>
      <c r="W34" s="1">
        <v>1</v>
      </c>
      <c r="X34" s="1">
        <v>1</v>
      </c>
      <c r="Y34" s="1"/>
      <c r="Z34" s="1">
        <v>5</v>
      </c>
      <c r="AA34" s="1"/>
      <c r="AB34" s="1"/>
      <c r="AC34" s="1">
        <v>1</v>
      </c>
      <c r="AD34" s="1"/>
      <c r="AE34" s="1"/>
      <c r="AF34" s="1">
        <v>1</v>
      </c>
      <c r="AG34" s="1">
        <v>1</v>
      </c>
      <c r="AH34" s="1"/>
      <c r="AI34" s="1"/>
      <c r="AJ34" s="1"/>
      <c r="AK34" s="1">
        <v>1</v>
      </c>
      <c r="AL34" s="1"/>
      <c r="AM34" s="1"/>
      <c r="AN34" s="1"/>
      <c r="AO34" s="1"/>
      <c r="AP34" s="1"/>
      <c r="AQ34" s="1"/>
      <c r="AR34" s="1"/>
      <c r="AS34" s="1"/>
      <c r="AT34" s="1"/>
      <c r="AU34" s="1">
        <v>1</v>
      </c>
      <c r="AV34" s="1"/>
      <c r="AW34" s="1">
        <v>1</v>
      </c>
      <c r="AX34" s="1"/>
      <c r="AY34" s="1"/>
      <c r="AZ34" s="1"/>
      <c r="BA34" s="1"/>
      <c r="BB34" s="1"/>
      <c r="BC34" s="1"/>
      <c r="BD34" s="1">
        <v>1</v>
      </c>
      <c r="BE34" s="1"/>
      <c r="BF34" s="1">
        <v>1</v>
      </c>
      <c r="BG34" s="1">
        <v>1</v>
      </c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>
        <v>1</v>
      </c>
      <c r="CC34" s="1"/>
      <c r="CD34" s="1">
        <v>1</v>
      </c>
      <c r="CE34" s="1">
        <v>1</v>
      </c>
      <c r="CF34" s="1"/>
      <c r="CG34" s="1"/>
      <c r="CH34" s="1"/>
      <c r="CI34" s="1"/>
      <c r="CJ34" s="1">
        <v>1</v>
      </c>
      <c r="CK34" s="1"/>
      <c r="CL34" s="1"/>
      <c r="CM34" s="1"/>
      <c r="CN34" s="1"/>
      <c r="CO34" s="1"/>
      <c r="CP34" s="1">
        <v>1</v>
      </c>
      <c r="CQ34" s="1"/>
      <c r="CR34" s="1">
        <v>1</v>
      </c>
      <c r="CS34" s="1"/>
      <c r="CT34" s="1"/>
      <c r="CU34" s="1"/>
      <c r="CV34" s="1"/>
      <c r="CW34" s="1"/>
      <c r="CX34" s="1"/>
      <c r="CY34" s="4">
        <f t="shared" si="0"/>
        <v>32</v>
      </c>
    </row>
    <row r="35" spans="1:103" ht="12.75">
      <c r="A35" s="114" t="s">
        <v>189</v>
      </c>
      <c r="B35" s="115" t="s">
        <v>21</v>
      </c>
      <c r="C35" s="1"/>
      <c r="D35" s="1"/>
      <c r="E35" s="1">
        <v>2</v>
      </c>
      <c r="F35" s="1"/>
      <c r="G35" s="1"/>
      <c r="H35" s="1">
        <v>2</v>
      </c>
      <c r="I35" s="1">
        <v>1</v>
      </c>
      <c r="J35" s="1"/>
      <c r="K35" s="1">
        <v>1</v>
      </c>
      <c r="L35" s="1">
        <v>1</v>
      </c>
      <c r="M35" s="1">
        <v>1</v>
      </c>
      <c r="N35" s="1"/>
      <c r="O35" s="1"/>
      <c r="P35" s="1">
        <v>2</v>
      </c>
      <c r="Q35" s="1"/>
      <c r="R35" s="1"/>
      <c r="S35" s="1"/>
      <c r="T35" s="1"/>
      <c r="U35" s="1"/>
      <c r="V35" s="1">
        <v>1</v>
      </c>
      <c r="W35" s="1">
        <v>1</v>
      </c>
      <c r="X35" s="1">
        <v>1</v>
      </c>
      <c r="Y35" s="1"/>
      <c r="Z35" s="1"/>
      <c r="AA35" s="1"/>
      <c r="AB35" s="1"/>
      <c r="AC35" s="1">
        <v>1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>
        <v>1</v>
      </c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>
        <v>1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v>1</v>
      </c>
      <c r="CQ35" s="1"/>
      <c r="CR35" s="1"/>
      <c r="CS35" s="1"/>
      <c r="CT35" s="1"/>
      <c r="CU35" s="1"/>
      <c r="CV35" s="1"/>
      <c r="CW35" s="1"/>
      <c r="CX35" s="1"/>
      <c r="CY35" s="4">
        <f t="shared" si="0"/>
        <v>17</v>
      </c>
    </row>
    <row r="36" spans="1:103" ht="12.75">
      <c r="A36" s="114" t="s">
        <v>191</v>
      </c>
      <c r="B36" s="115" t="s">
        <v>21</v>
      </c>
      <c r="C36" s="1"/>
      <c r="D36" s="1"/>
      <c r="E36" s="1">
        <v>2</v>
      </c>
      <c r="F36" s="1">
        <v>1</v>
      </c>
      <c r="G36" s="1"/>
      <c r="H36" s="1">
        <v>2</v>
      </c>
      <c r="I36" s="1">
        <v>1</v>
      </c>
      <c r="J36" s="1"/>
      <c r="K36" s="1">
        <v>1</v>
      </c>
      <c r="L36" s="1">
        <v>1</v>
      </c>
      <c r="M36" s="1">
        <v>1</v>
      </c>
      <c r="N36" s="1"/>
      <c r="O36" s="1"/>
      <c r="P36" s="1">
        <v>1</v>
      </c>
      <c r="Q36" s="1">
        <v>1</v>
      </c>
      <c r="R36" s="1"/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/>
      <c r="Z36" s="1">
        <v>5</v>
      </c>
      <c r="AA36" s="1"/>
      <c r="AB36" s="1"/>
      <c r="AC36" s="1">
        <v>1</v>
      </c>
      <c r="AD36" s="1"/>
      <c r="AE36" s="1"/>
      <c r="AF36" s="1"/>
      <c r="AG36" s="1"/>
      <c r="AH36" s="1">
        <v>1</v>
      </c>
      <c r="AI36" s="1">
        <v>1</v>
      </c>
      <c r="AJ36" s="1"/>
      <c r="AK36" s="1"/>
      <c r="AL36" s="1"/>
      <c r="AM36" s="1">
        <v>1</v>
      </c>
      <c r="AN36" s="1"/>
      <c r="AO36" s="1"/>
      <c r="AP36" s="1"/>
      <c r="AQ36" s="1"/>
      <c r="AR36" s="1"/>
      <c r="AS36" s="1"/>
      <c r="AT36" s="1">
        <v>3</v>
      </c>
      <c r="AU36" s="1">
        <v>1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>
        <v>1</v>
      </c>
      <c r="BH36" s="1">
        <v>1</v>
      </c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>
        <v>1</v>
      </c>
      <c r="BZ36" s="1"/>
      <c r="CA36" s="1"/>
      <c r="CB36" s="1">
        <v>1</v>
      </c>
      <c r="CC36" s="1"/>
      <c r="CD36" s="1">
        <v>1</v>
      </c>
      <c r="CE36" s="1">
        <v>1</v>
      </c>
      <c r="CF36" s="1">
        <v>1</v>
      </c>
      <c r="CG36" s="1"/>
      <c r="CH36" s="1"/>
      <c r="CI36" s="1"/>
      <c r="CJ36" s="1"/>
      <c r="CK36" s="1"/>
      <c r="CL36" s="1"/>
      <c r="CM36" s="1"/>
      <c r="CN36" s="1">
        <v>1</v>
      </c>
      <c r="CO36" s="1"/>
      <c r="CP36" s="1"/>
      <c r="CQ36" s="1"/>
      <c r="CR36" s="1">
        <v>1</v>
      </c>
      <c r="CS36" s="1">
        <v>1</v>
      </c>
      <c r="CT36" s="1">
        <v>3</v>
      </c>
      <c r="CU36" s="1"/>
      <c r="CV36" s="1">
        <v>1</v>
      </c>
      <c r="CW36" s="1">
        <v>1</v>
      </c>
      <c r="CX36" s="1"/>
      <c r="CY36" s="4">
        <f t="shared" si="0"/>
        <v>45</v>
      </c>
    </row>
    <row r="37" spans="1:103" ht="12.75">
      <c r="A37" s="2" t="s">
        <v>92</v>
      </c>
      <c r="B37" s="127" t="s">
        <v>19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>
        <v>1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1"/>
      <c r="CY37" s="4">
        <f t="shared" si="0"/>
        <v>1</v>
      </c>
    </row>
    <row r="38" spans="1:103" ht="12.75">
      <c r="A38" s="2" t="s">
        <v>93</v>
      </c>
      <c r="B38" s="127" t="s">
        <v>19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1"/>
      <c r="CY38" s="4">
        <f t="shared" si="0"/>
        <v>0</v>
      </c>
    </row>
    <row r="39" spans="1:103" ht="12.75">
      <c r="A39" s="126" t="s">
        <v>204</v>
      </c>
      <c r="B39" s="127" t="s">
        <v>19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>
        <v>1</v>
      </c>
      <c r="CS39" s="4"/>
      <c r="CT39" s="4"/>
      <c r="CU39" s="4"/>
      <c r="CV39" s="4"/>
      <c r="CW39" s="4"/>
      <c r="CX39" s="1"/>
      <c r="CY39" s="4">
        <f t="shared" si="0"/>
        <v>1</v>
      </c>
    </row>
    <row r="40" spans="1:140" ht="12.75">
      <c r="A40" s="112" t="s">
        <v>284</v>
      </c>
      <c r="B40" s="109" t="s">
        <v>19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4"/>
      <c r="CY40" s="4">
        <f t="shared" si="0"/>
        <v>0</v>
      </c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V40" s="1"/>
      <c r="EA40" s="1"/>
      <c r="EB40" s="1"/>
      <c r="EC40" s="1"/>
      <c r="ED40" s="1"/>
      <c r="EG40" s="1"/>
      <c r="EI40" s="1"/>
      <c r="EJ40" s="1"/>
    </row>
    <row r="41" spans="1:103" ht="12.75">
      <c r="A41" s="126" t="s">
        <v>232</v>
      </c>
      <c r="B41" s="127" t="s">
        <v>19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1"/>
      <c r="CY41" s="4">
        <f t="shared" si="0"/>
        <v>0</v>
      </c>
    </row>
    <row r="42" spans="1:140" ht="12.75">
      <c r="A42" s="112" t="s">
        <v>283</v>
      </c>
      <c r="B42" s="109" t="s">
        <v>19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4"/>
      <c r="CY42" s="4">
        <f t="shared" si="0"/>
        <v>0</v>
      </c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V42" s="1"/>
      <c r="EA42" s="1"/>
      <c r="EB42" s="1"/>
      <c r="EC42" s="1"/>
      <c r="ED42" s="1"/>
      <c r="EG42" s="1"/>
      <c r="EI42" s="1"/>
      <c r="EJ42" s="1"/>
    </row>
    <row r="43" spans="1:103" ht="12.75">
      <c r="A43" s="114" t="s">
        <v>269</v>
      </c>
      <c r="B43" s="127" t="s">
        <v>152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>
        <v>1</v>
      </c>
      <c r="CE43" s="1"/>
      <c r="CF43" s="1"/>
      <c r="CG43" s="1"/>
      <c r="CH43" s="1"/>
      <c r="CI43" s="1"/>
      <c r="CJ43" s="1">
        <v>1</v>
      </c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4">
        <f>SUM(C43:CX43)</f>
        <v>2</v>
      </c>
    </row>
    <row r="44" spans="1:103" ht="12.75">
      <c r="A44" s="149" t="s">
        <v>872</v>
      </c>
      <c r="B44" s="127" t="s">
        <v>152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>
        <v>1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4">
        <f t="shared" si="0"/>
        <v>1</v>
      </c>
    </row>
    <row r="45" spans="1:143" ht="12.75">
      <c r="A45" s="2" t="s">
        <v>66</v>
      </c>
      <c r="B45" s="127" t="s">
        <v>18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1</v>
      </c>
      <c r="X45" s="4">
        <v>1</v>
      </c>
      <c r="Y45" s="4">
        <v>1</v>
      </c>
      <c r="Z45" s="4">
        <v>2</v>
      </c>
      <c r="AA45" s="4"/>
      <c r="AB45" s="4"/>
      <c r="AC45" s="4">
        <v>1</v>
      </c>
      <c r="AD45" s="4"/>
      <c r="AE45" s="4"/>
      <c r="AF45" s="4">
        <v>1</v>
      </c>
      <c r="AG45" s="4">
        <v>1</v>
      </c>
      <c r="AH45" s="4"/>
      <c r="AI45" s="4"/>
      <c r="AJ45" s="4"/>
      <c r="AK45" s="4">
        <v>1</v>
      </c>
      <c r="AL45" s="4"/>
      <c r="AM45" s="4"/>
      <c r="AN45" s="4">
        <v>1</v>
      </c>
      <c r="AO45" s="4"/>
      <c r="AP45" s="4">
        <v>1</v>
      </c>
      <c r="AQ45" s="4"/>
      <c r="AR45" s="4"/>
      <c r="AS45" s="4"/>
      <c r="AT45" s="4"/>
      <c r="AU45" s="4">
        <v>1</v>
      </c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>
        <v>1</v>
      </c>
      <c r="BG45" s="4">
        <v>1</v>
      </c>
      <c r="BH45" s="4"/>
      <c r="BI45" s="4"/>
      <c r="BJ45" s="4"/>
      <c r="BK45" s="4"/>
      <c r="BL45" s="4"/>
      <c r="BM45" s="4">
        <v>1</v>
      </c>
      <c r="BN45" s="4"/>
      <c r="BO45" s="4"/>
      <c r="BP45" s="4"/>
      <c r="BQ45" s="4"/>
      <c r="BR45" s="4"/>
      <c r="BS45" s="4"/>
      <c r="BT45" s="4">
        <v>2</v>
      </c>
      <c r="BU45" s="4"/>
      <c r="BV45" s="4"/>
      <c r="BW45" s="4"/>
      <c r="BX45" s="4">
        <v>1</v>
      </c>
      <c r="BY45" s="4"/>
      <c r="BZ45" s="4"/>
      <c r="CA45" s="4"/>
      <c r="CB45" s="4">
        <v>1</v>
      </c>
      <c r="CC45" s="4"/>
      <c r="CD45" s="4">
        <v>1</v>
      </c>
      <c r="CE45" s="4">
        <v>1</v>
      </c>
      <c r="CF45" s="4"/>
      <c r="CG45" s="4"/>
      <c r="CH45" s="4"/>
      <c r="CI45" s="4"/>
      <c r="CJ45" s="4"/>
      <c r="CK45" s="4">
        <v>1</v>
      </c>
      <c r="CL45" s="4">
        <v>1</v>
      </c>
      <c r="CM45" s="4">
        <v>1</v>
      </c>
      <c r="CN45" s="4"/>
      <c r="CO45" s="4"/>
      <c r="CP45" s="4"/>
      <c r="CQ45" s="4"/>
      <c r="CR45" s="4">
        <v>1</v>
      </c>
      <c r="CS45" s="4"/>
      <c r="CT45" s="4"/>
      <c r="CU45" s="4"/>
      <c r="CV45" s="4"/>
      <c r="CW45" s="4"/>
      <c r="CX45" s="4"/>
      <c r="CY45" s="4">
        <f t="shared" si="0"/>
        <v>25</v>
      </c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12.75">
      <c r="A46" s="114" t="s">
        <v>240</v>
      </c>
      <c r="B46" s="115" t="s">
        <v>18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1</v>
      </c>
      <c r="X46" s="4"/>
      <c r="Y46" s="4"/>
      <c r="Z46" s="4">
        <v>5</v>
      </c>
      <c r="AA46" s="4"/>
      <c r="AB46" s="4"/>
      <c r="AC46" s="4"/>
      <c r="AD46" s="4"/>
      <c r="AE46" s="4"/>
      <c r="AF46" s="4"/>
      <c r="AG46" s="4"/>
      <c r="AH46" s="4">
        <v>1</v>
      </c>
      <c r="AI46" s="4">
        <v>1</v>
      </c>
      <c r="AJ46" s="4"/>
      <c r="AK46" s="4"/>
      <c r="AL46" s="4"/>
      <c r="AM46" s="4">
        <v>1</v>
      </c>
      <c r="AN46" s="4"/>
      <c r="AO46" s="4"/>
      <c r="AP46" s="4"/>
      <c r="AQ46" s="4"/>
      <c r="AR46" s="4"/>
      <c r="AS46" s="4">
        <v>1</v>
      </c>
      <c r="AT46" s="4"/>
      <c r="AU46" s="4"/>
      <c r="AV46" s="4"/>
      <c r="AW46" s="4"/>
      <c r="AX46" s="4"/>
      <c r="AY46" s="4">
        <v>1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>
        <v>1</v>
      </c>
      <c r="CE46" s="4"/>
      <c r="CF46" s="4">
        <v>1</v>
      </c>
      <c r="CG46" s="4"/>
      <c r="CH46" s="4"/>
      <c r="CI46" s="4"/>
      <c r="CJ46" s="4"/>
      <c r="CK46" s="4"/>
      <c r="CL46" s="4"/>
      <c r="CM46" s="4"/>
      <c r="CN46" s="4">
        <v>1</v>
      </c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>
        <f t="shared" si="0"/>
        <v>14</v>
      </c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9" ht="12.75">
      <c r="A47" s="2" t="s">
        <v>164</v>
      </c>
      <c r="B47" s="127" t="s">
        <v>152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>
        <f t="shared" si="0"/>
        <v>0</v>
      </c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9"/>
      <c r="DO47" s="4"/>
      <c r="DP47" s="4"/>
      <c r="DQ47" s="4"/>
      <c r="DR47" s="4"/>
      <c r="DS47" s="4"/>
      <c r="DT47" s="4"/>
      <c r="DU47" s="4"/>
      <c r="DV47" s="49"/>
      <c r="DW47" s="49"/>
      <c r="DX47" s="4"/>
      <c r="DY47" s="4"/>
      <c r="DZ47" s="4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O47" s="47"/>
      <c r="ES47" s="47"/>
    </row>
    <row r="48" spans="1:149" ht="12.75">
      <c r="A48" s="2" t="s">
        <v>67</v>
      </c>
      <c r="B48" s="127" t="s">
        <v>18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v>1</v>
      </c>
      <c r="Z48" s="4"/>
      <c r="AA48" s="4"/>
      <c r="AB48" s="4">
        <v>1</v>
      </c>
      <c r="AC48" s="4"/>
      <c r="AD48" s="4"/>
      <c r="AE48" s="4">
        <v>1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>
        <v>1</v>
      </c>
      <c r="AV48" s="4"/>
      <c r="AW48" s="4">
        <v>1</v>
      </c>
      <c r="AX48" s="4">
        <v>1</v>
      </c>
      <c r="AY48" s="4"/>
      <c r="AZ48" s="4">
        <v>1</v>
      </c>
      <c r="BA48" s="4"/>
      <c r="BB48" s="4"/>
      <c r="BC48" s="4"/>
      <c r="BD48" s="4"/>
      <c r="BE48" s="4"/>
      <c r="BF48" s="4">
        <v>1</v>
      </c>
      <c r="BG48" s="4">
        <v>1</v>
      </c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>
        <v>2</v>
      </c>
      <c r="BY48" s="4"/>
      <c r="BZ48" s="4">
        <v>1</v>
      </c>
      <c r="CA48" s="4">
        <v>1</v>
      </c>
      <c r="CB48" s="4"/>
      <c r="CC48" s="4"/>
      <c r="CD48" s="4"/>
      <c r="CE48" s="4">
        <v>1</v>
      </c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>
        <f t="shared" si="0"/>
        <v>14</v>
      </c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9"/>
      <c r="DO48" s="4"/>
      <c r="DP48" s="4"/>
      <c r="DQ48" s="4"/>
      <c r="DR48" s="4"/>
      <c r="DS48" s="4"/>
      <c r="DT48" s="4"/>
      <c r="DU48" s="4"/>
      <c r="DV48" s="49"/>
      <c r="DW48" s="49"/>
      <c r="DX48" s="4"/>
      <c r="DY48" s="4"/>
      <c r="DZ48" s="4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O48" s="47"/>
      <c r="ES48" s="47"/>
    </row>
    <row r="49" spans="1:103" ht="12.75">
      <c r="A49" s="149" t="s">
        <v>621</v>
      </c>
      <c r="B49" s="123" t="s">
        <v>17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>
        <v>1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4">
        <f t="shared" si="0"/>
        <v>1</v>
      </c>
    </row>
    <row r="50" spans="1:103" ht="12.75">
      <c r="A50" s="149" t="s">
        <v>622</v>
      </c>
      <c r="B50" s="123" t="s">
        <v>17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>
        <v>1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4">
        <f t="shared" si="0"/>
        <v>1</v>
      </c>
    </row>
    <row r="51" spans="1:103" ht="12.75">
      <c r="A51" s="2" t="s">
        <v>105</v>
      </c>
      <c r="B51" s="127" t="s">
        <v>21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>
        <v>1</v>
      </c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4">
        <f t="shared" si="0"/>
        <v>1</v>
      </c>
    </row>
    <row r="52" spans="1:103" ht="12.75">
      <c r="A52" s="149" t="s">
        <v>586</v>
      </c>
      <c r="B52" s="123" t="s">
        <v>18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1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>
        <v>1</v>
      </c>
      <c r="AY52" s="1"/>
      <c r="AZ52" s="1"/>
      <c r="BA52" s="1"/>
      <c r="BB52" s="1"/>
      <c r="BC52" s="1"/>
      <c r="BD52" s="1"/>
      <c r="BE52" s="1"/>
      <c r="BF52" s="1">
        <v>1</v>
      </c>
      <c r="BG52" s="1">
        <v>1</v>
      </c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>
        <v>1</v>
      </c>
      <c r="CE52" s="1">
        <v>1</v>
      </c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4">
        <f t="shared" si="0"/>
        <v>6</v>
      </c>
    </row>
    <row r="53" spans="1:103" ht="12.75">
      <c r="A53" s="126" t="s">
        <v>481</v>
      </c>
      <c r="B53" s="127" t="s">
        <v>20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>
        <v>1</v>
      </c>
      <c r="AC53" s="4"/>
      <c r="AD53" s="4"/>
      <c r="AE53" s="4">
        <v>1</v>
      </c>
      <c r="AF53" s="4"/>
      <c r="AG53" s="4"/>
      <c r="AH53" s="4"/>
      <c r="AI53" s="4"/>
      <c r="AJ53" s="4"/>
      <c r="AK53" s="4"/>
      <c r="AL53" s="4"/>
      <c r="AM53" s="4"/>
      <c r="AN53" s="4"/>
      <c r="AO53" s="4">
        <v>1</v>
      </c>
      <c r="AP53" s="4"/>
      <c r="AQ53" s="4">
        <v>1</v>
      </c>
      <c r="AR53" s="4"/>
      <c r="AS53" s="4"/>
      <c r="AT53" s="4"/>
      <c r="AU53" s="4"/>
      <c r="AV53" s="4"/>
      <c r="AW53" s="4">
        <v>1</v>
      </c>
      <c r="AX53" s="4">
        <v>1</v>
      </c>
      <c r="AY53" s="4"/>
      <c r="AZ53" s="4"/>
      <c r="BA53" s="4"/>
      <c r="BB53" s="4"/>
      <c r="BC53" s="4"/>
      <c r="BD53" s="4"/>
      <c r="BE53" s="4"/>
      <c r="BF53" s="4">
        <v>1</v>
      </c>
      <c r="BG53" s="4">
        <v>1</v>
      </c>
      <c r="BH53" s="4"/>
      <c r="BI53" s="4"/>
      <c r="BJ53" s="4"/>
      <c r="BK53" s="4"/>
      <c r="BL53" s="4">
        <v>2</v>
      </c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>
        <v>1</v>
      </c>
      <c r="CD53" s="4">
        <v>1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1"/>
      <c r="CY53" s="4">
        <f t="shared" si="0"/>
        <v>12</v>
      </c>
    </row>
    <row r="54" spans="1:103" ht="12.75">
      <c r="A54" s="2" t="s">
        <v>101</v>
      </c>
      <c r="B54" s="127" t="s">
        <v>20</v>
      </c>
      <c r="C54" s="4"/>
      <c r="D54" s="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>
        <v>1</v>
      </c>
      <c r="AC54" s="4"/>
      <c r="AD54" s="4"/>
      <c r="AE54" s="4">
        <v>1</v>
      </c>
      <c r="AF54" s="4"/>
      <c r="AG54" s="4"/>
      <c r="AH54" s="4"/>
      <c r="AI54" s="4"/>
      <c r="AJ54" s="4"/>
      <c r="AK54" s="4"/>
      <c r="AL54" s="4"/>
      <c r="AM54" s="4"/>
      <c r="AN54" s="4"/>
      <c r="AO54" s="4">
        <v>1</v>
      </c>
      <c r="AP54" s="4"/>
      <c r="AQ54" s="4">
        <v>1</v>
      </c>
      <c r="AR54" s="4"/>
      <c r="AS54" s="4"/>
      <c r="AT54" s="4"/>
      <c r="AU54" s="4"/>
      <c r="AV54" s="4"/>
      <c r="AW54" s="4">
        <v>1</v>
      </c>
      <c r="AX54" s="4">
        <v>1</v>
      </c>
      <c r="AY54" s="4"/>
      <c r="AZ54" s="4"/>
      <c r="BA54" s="4"/>
      <c r="BB54" s="4"/>
      <c r="BC54" s="4"/>
      <c r="BD54" s="4"/>
      <c r="BE54" s="4"/>
      <c r="BF54" s="4">
        <v>1</v>
      </c>
      <c r="BG54" s="4">
        <v>1</v>
      </c>
      <c r="BH54" s="4"/>
      <c r="BI54" s="4"/>
      <c r="BJ54" s="4"/>
      <c r="BK54" s="4">
        <v>1</v>
      </c>
      <c r="BL54" s="4">
        <v>2</v>
      </c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>
        <v>1</v>
      </c>
      <c r="CA54" s="4">
        <v>1</v>
      </c>
      <c r="CB54" s="4"/>
      <c r="CC54" s="4">
        <v>1</v>
      </c>
      <c r="CD54" s="4">
        <v>1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1"/>
      <c r="CY54" s="4">
        <f t="shared" si="0"/>
        <v>16</v>
      </c>
    </row>
    <row r="55" spans="1:103" ht="12.75">
      <c r="A55" s="2" t="s">
        <v>102</v>
      </c>
      <c r="B55" s="127" t="s">
        <v>20</v>
      </c>
      <c r="C55" s="1"/>
      <c r="D55" s="1">
        <v>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v>1</v>
      </c>
      <c r="AC55" s="1"/>
      <c r="AD55" s="1">
        <v>1</v>
      </c>
      <c r="AE55" s="1">
        <v>1</v>
      </c>
      <c r="AF55" s="1"/>
      <c r="AG55" s="1">
        <v>1</v>
      </c>
      <c r="AH55" s="1"/>
      <c r="AI55" s="1"/>
      <c r="AJ55" s="1"/>
      <c r="AK55" s="1"/>
      <c r="AL55" s="1"/>
      <c r="AM55" s="1"/>
      <c r="AN55" s="1"/>
      <c r="AO55" s="1">
        <v>1</v>
      </c>
      <c r="AP55" s="1"/>
      <c r="AQ55" s="1">
        <v>1</v>
      </c>
      <c r="AR55" s="1"/>
      <c r="AS55" s="1"/>
      <c r="AT55" s="1"/>
      <c r="AU55" s="1"/>
      <c r="AV55" s="1"/>
      <c r="AW55" s="1">
        <v>1</v>
      </c>
      <c r="AX55" s="1">
        <v>1</v>
      </c>
      <c r="AY55" s="1"/>
      <c r="AZ55" s="1"/>
      <c r="BA55" s="1"/>
      <c r="BB55" s="1"/>
      <c r="BC55" s="1"/>
      <c r="BD55" s="1"/>
      <c r="BE55" s="1"/>
      <c r="BF55" s="1">
        <v>1</v>
      </c>
      <c r="BG55" s="1">
        <v>1</v>
      </c>
      <c r="BH55" s="1"/>
      <c r="BI55" s="1"/>
      <c r="BJ55" s="1"/>
      <c r="BK55" s="1">
        <v>1</v>
      </c>
      <c r="BL55" s="1">
        <v>2</v>
      </c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>
        <v>1</v>
      </c>
      <c r="CS55" s="1"/>
      <c r="CT55" s="1"/>
      <c r="CU55" s="1"/>
      <c r="CV55" s="1"/>
      <c r="CW55" s="1"/>
      <c r="CX55" s="1"/>
      <c r="CY55" s="4">
        <f t="shared" si="0"/>
        <v>20</v>
      </c>
    </row>
    <row r="56" spans="1:103" ht="12.75">
      <c r="A56" s="2" t="s">
        <v>206</v>
      </c>
      <c r="B56" s="127" t="s">
        <v>20</v>
      </c>
      <c r="C56" s="1"/>
      <c r="D56" s="1"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v>1</v>
      </c>
      <c r="AC56" s="1"/>
      <c r="AD56" s="1">
        <v>1</v>
      </c>
      <c r="AE56" s="1">
        <v>1</v>
      </c>
      <c r="AF56" s="1"/>
      <c r="AG56" s="1">
        <v>1</v>
      </c>
      <c r="AH56" s="1"/>
      <c r="AI56" s="1"/>
      <c r="AJ56" s="1"/>
      <c r="AK56" s="1"/>
      <c r="AL56" s="1"/>
      <c r="AM56" s="1"/>
      <c r="AN56" s="1"/>
      <c r="AO56" s="1">
        <v>1</v>
      </c>
      <c r="AP56" s="1"/>
      <c r="AQ56" s="1">
        <v>1</v>
      </c>
      <c r="AR56" s="1"/>
      <c r="AS56" s="1"/>
      <c r="AT56" s="1"/>
      <c r="AU56" s="1"/>
      <c r="AV56" s="1"/>
      <c r="AW56" s="1">
        <v>1</v>
      </c>
      <c r="AX56" s="1">
        <v>1</v>
      </c>
      <c r="AY56" s="1"/>
      <c r="AZ56" s="1"/>
      <c r="BA56" s="1"/>
      <c r="BB56" s="1"/>
      <c r="BC56" s="1"/>
      <c r="BD56" s="1"/>
      <c r="BE56" s="1"/>
      <c r="BF56" s="1">
        <v>1</v>
      </c>
      <c r="BG56" s="1">
        <v>1</v>
      </c>
      <c r="BH56" s="1"/>
      <c r="BI56" s="1"/>
      <c r="BJ56" s="1"/>
      <c r="BK56" s="1">
        <v>1</v>
      </c>
      <c r="BL56" s="1">
        <v>2</v>
      </c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>
        <v>1</v>
      </c>
      <c r="CC56" s="1">
        <v>1</v>
      </c>
      <c r="CD56" s="1">
        <v>1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4">
        <f t="shared" si="0"/>
        <v>17</v>
      </c>
    </row>
    <row r="57" spans="1:103" ht="12.75">
      <c r="A57" s="2" t="s">
        <v>58</v>
      </c>
      <c r="B57" s="127" t="s">
        <v>20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4">
        <f t="shared" si="0"/>
        <v>0</v>
      </c>
    </row>
    <row r="58" spans="1:103" ht="12.75">
      <c r="A58" s="149" t="s">
        <v>557</v>
      </c>
      <c r="B58" s="123" t="s">
        <v>17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>
        <v>1</v>
      </c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4">
        <f t="shared" si="0"/>
        <v>1</v>
      </c>
    </row>
    <row r="59" spans="1:149" ht="12.75">
      <c r="A59" s="2" t="s">
        <v>135</v>
      </c>
      <c r="B59" s="127" t="s">
        <v>18</v>
      </c>
      <c r="C59" s="4"/>
      <c r="D59" s="4"/>
      <c r="E59" s="4"/>
      <c r="F59" s="4"/>
      <c r="G59" s="4"/>
      <c r="H59" s="4"/>
      <c r="I59" s="4"/>
      <c r="J59" s="4"/>
      <c r="K59" s="4">
        <v>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>
        <v>1</v>
      </c>
      <c r="Y59" s="4"/>
      <c r="Z59" s="4"/>
      <c r="AA59" s="4"/>
      <c r="AB59" s="4"/>
      <c r="AC59" s="4"/>
      <c r="AD59" s="4"/>
      <c r="AE59" s="4"/>
      <c r="AF59" s="4">
        <v>1</v>
      </c>
      <c r="AG59" s="4"/>
      <c r="AH59" s="4"/>
      <c r="AI59" s="4"/>
      <c r="AJ59" s="4"/>
      <c r="AK59" s="4">
        <v>1</v>
      </c>
      <c r="AL59" s="4"/>
      <c r="AM59" s="4"/>
      <c r="AN59" s="4"/>
      <c r="AO59" s="4"/>
      <c r="AP59" s="4"/>
      <c r="AQ59" s="4">
        <v>1</v>
      </c>
      <c r="AR59" s="4"/>
      <c r="AS59" s="4"/>
      <c r="AT59" s="4"/>
      <c r="AU59" s="4"/>
      <c r="AV59" s="4"/>
      <c r="AW59" s="4"/>
      <c r="AX59" s="4"/>
      <c r="AY59" s="4"/>
      <c r="AZ59" s="4">
        <v>1</v>
      </c>
      <c r="BA59" s="4"/>
      <c r="BB59" s="4"/>
      <c r="BC59" s="4"/>
      <c r="BD59" s="4">
        <v>1</v>
      </c>
      <c r="BE59" s="4"/>
      <c r="BF59" s="4"/>
      <c r="BG59" s="4">
        <v>1</v>
      </c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>
        <v>1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>
        <f t="shared" si="0"/>
        <v>9</v>
      </c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O59" s="47"/>
      <c r="ES59" s="47"/>
    </row>
    <row r="60" spans="1:103" ht="12.75">
      <c r="A60" s="114" t="s">
        <v>258</v>
      </c>
      <c r="B60" s="127" t="s">
        <v>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>
        <v>1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v>1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>
        <v>1</v>
      </c>
      <c r="BE60" s="1"/>
      <c r="BF60" s="1"/>
      <c r="BG60" s="1">
        <v>1</v>
      </c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>
        <v>1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4">
        <f t="shared" si="0"/>
        <v>5</v>
      </c>
    </row>
    <row r="61" spans="1:103" ht="12.75">
      <c r="A61" s="114" t="s">
        <v>237</v>
      </c>
      <c r="B61" s="115" t="s">
        <v>19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>
        <v>1</v>
      </c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4">
        <f t="shared" si="0"/>
        <v>1</v>
      </c>
    </row>
    <row r="62" spans="1:103" ht="12.75">
      <c r="A62" s="149" t="s">
        <v>558</v>
      </c>
      <c r="B62" s="123" t="s">
        <v>21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>
        <v>1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>
        <v>1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4">
        <f t="shared" si="0"/>
        <v>2</v>
      </c>
    </row>
    <row r="63" spans="1:103" ht="12.75">
      <c r="A63" s="2" t="s">
        <v>883</v>
      </c>
      <c r="B63" s="123" t="s">
        <v>17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>
        <v>1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1"/>
      <c r="CY63" s="4">
        <f>SUM(C63:CX63)</f>
        <v>1</v>
      </c>
    </row>
    <row r="64" spans="1:103" ht="12.75">
      <c r="A64" s="2" t="s">
        <v>59</v>
      </c>
      <c r="B64" s="127" t="s">
        <v>17</v>
      </c>
      <c r="C64" s="1"/>
      <c r="D64" s="1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>
        <v>1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4">
        <f t="shared" si="0"/>
        <v>2</v>
      </c>
    </row>
    <row r="65" spans="1:143" ht="12.75">
      <c r="A65" s="112" t="s">
        <v>279</v>
      </c>
      <c r="B65" s="109" t="s">
        <v>18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>
        <v>1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>
        <f t="shared" si="0"/>
        <v>1</v>
      </c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03" ht="12.75">
      <c r="A66" s="149" t="s">
        <v>559</v>
      </c>
      <c r="B66" s="123" t="s">
        <v>21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>
        <v>1</v>
      </c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4">
        <f t="shared" si="0"/>
        <v>1</v>
      </c>
    </row>
    <row r="67" spans="1:103" ht="12.75">
      <c r="A67" s="2" t="s">
        <v>94</v>
      </c>
      <c r="B67" s="127" t="s">
        <v>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1"/>
      <c r="CY67" s="4">
        <f t="shared" si="0"/>
        <v>0</v>
      </c>
    </row>
    <row r="68" spans="1:149" ht="12.75">
      <c r="A68" s="2" t="s">
        <v>68</v>
      </c>
      <c r="B68" s="127" t="s">
        <v>18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1</v>
      </c>
      <c r="X68" s="4">
        <v>1</v>
      </c>
      <c r="Y68" s="4">
        <v>1</v>
      </c>
      <c r="Z68" s="4"/>
      <c r="AA68" s="4"/>
      <c r="AB68" s="4"/>
      <c r="AC68" s="4"/>
      <c r="AD68" s="4"/>
      <c r="AE68" s="4"/>
      <c r="AF68" s="4">
        <v>1</v>
      </c>
      <c r="AG68" s="4">
        <v>1</v>
      </c>
      <c r="AH68" s="4"/>
      <c r="AI68" s="4"/>
      <c r="AJ68" s="4"/>
      <c r="AK68" s="4">
        <v>1</v>
      </c>
      <c r="AL68" s="4"/>
      <c r="AM68" s="4"/>
      <c r="AN68" s="4"/>
      <c r="AO68" s="4">
        <v>1</v>
      </c>
      <c r="AP68" s="4"/>
      <c r="AQ68" s="4">
        <v>1</v>
      </c>
      <c r="AR68" s="4"/>
      <c r="AS68" s="4"/>
      <c r="AT68" s="4"/>
      <c r="AU68" s="4">
        <v>1</v>
      </c>
      <c r="AV68" s="4"/>
      <c r="AW68" s="4"/>
      <c r="AX68" s="4"/>
      <c r="AY68" s="4"/>
      <c r="AZ68" s="4"/>
      <c r="BA68" s="4"/>
      <c r="BB68" s="4"/>
      <c r="BC68" s="4">
        <v>1</v>
      </c>
      <c r="BD68" s="4">
        <v>1</v>
      </c>
      <c r="BE68" s="4"/>
      <c r="BF68" s="4"/>
      <c r="BG68" s="4">
        <v>1</v>
      </c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>
        <v>1</v>
      </c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>
        <v>1</v>
      </c>
      <c r="CE68" s="4">
        <v>1</v>
      </c>
      <c r="CF68" s="4"/>
      <c r="CG68" s="4"/>
      <c r="CH68" s="4"/>
      <c r="CI68" s="4"/>
      <c r="CJ68" s="4">
        <v>1</v>
      </c>
      <c r="CK68" s="4">
        <v>1</v>
      </c>
      <c r="CL68" s="4">
        <v>1</v>
      </c>
      <c r="CM68" s="4"/>
      <c r="CN68" s="4"/>
      <c r="CO68" s="4"/>
      <c r="CP68" s="4"/>
      <c r="CQ68" s="4"/>
      <c r="CR68" s="4">
        <v>1</v>
      </c>
      <c r="CS68" s="4"/>
      <c r="CT68" s="4"/>
      <c r="CU68" s="4"/>
      <c r="CV68" s="4"/>
      <c r="CW68" s="4"/>
      <c r="CX68" s="4"/>
      <c r="CY68" s="4">
        <f t="shared" si="0"/>
        <v>19</v>
      </c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O68" s="47"/>
      <c r="ES68" s="47"/>
    </row>
    <row r="69" spans="1:149" ht="12.75">
      <c r="A69" s="2" t="s">
        <v>69</v>
      </c>
      <c r="B69" s="127" t="s">
        <v>18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1</v>
      </c>
      <c r="X69" s="4">
        <v>1</v>
      </c>
      <c r="Y69" s="4">
        <v>1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>
        <v>1</v>
      </c>
      <c r="AP69" s="4"/>
      <c r="AQ69" s="4">
        <v>1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>
        <v>1</v>
      </c>
      <c r="BE69" s="4"/>
      <c r="BF69" s="4"/>
      <c r="BG69" s="4">
        <v>1</v>
      </c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>
        <f t="shared" si="0"/>
        <v>7</v>
      </c>
      <c r="CZ69" s="4"/>
      <c r="DA69" s="4"/>
      <c r="DB69" s="4"/>
      <c r="DC69" s="4"/>
      <c r="DD69" s="49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O69" s="47"/>
      <c r="ES69" s="47"/>
    </row>
    <row r="70" spans="1:149" ht="12.75">
      <c r="A70" s="2" t="s">
        <v>70</v>
      </c>
      <c r="B70" s="127" t="s">
        <v>18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v>1</v>
      </c>
      <c r="W70" s="4">
        <v>1</v>
      </c>
      <c r="X70" s="4">
        <v>1</v>
      </c>
      <c r="Y70" s="4">
        <v>1</v>
      </c>
      <c r="Z70" s="4"/>
      <c r="AA70" s="4"/>
      <c r="AB70" s="4"/>
      <c r="AC70" s="4"/>
      <c r="AD70" s="4"/>
      <c r="AE70" s="4"/>
      <c r="AF70" s="4"/>
      <c r="AG70" s="4"/>
      <c r="AH70" s="4">
        <v>1</v>
      </c>
      <c r="AI70" s="4">
        <v>1</v>
      </c>
      <c r="AJ70" s="4"/>
      <c r="AK70" s="4"/>
      <c r="AL70" s="4"/>
      <c r="AM70" s="4">
        <v>1</v>
      </c>
      <c r="AN70" s="4"/>
      <c r="AO70" s="4"/>
      <c r="AP70" s="4"/>
      <c r="AQ70" s="4"/>
      <c r="AR70" s="4"/>
      <c r="AS70" s="4"/>
      <c r="AT70" s="4">
        <v>3</v>
      </c>
      <c r="AU70" s="4"/>
      <c r="AV70" s="4"/>
      <c r="AW70" s="4"/>
      <c r="AX70" s="4"/>
      <c r="AY70" s="4"/>
      <c r="AZ70" s="4"/>
      <c r="BA70" s="4"/>
      <c r="BB70" s="4"/>
      <c r="BC70" s="4">
        <v>1</v>
      </c>
      <c r="BD70" s="4"/>
      <c r="BE70" s="4"/>
      <c r="BF70" s="4"/>
      <c r="BG70" s="4"/>
      <c r="BH70" s="4">
        <v>2</v>
      </c>
      <c r="BI70" s="4"/>
      <c r="BJ70" s="4"/>
      <c r="BK70" s="4"/>
      <c r="BL70" s="4"/>
      <c r="BM70" s="4"/>
      <c r="BN70" s="4"/>
      <c r="BO70" s="4"/>
      <c r="BP70" s="4"/>
      <c r="BQ70" s="4"/>
      <c r="BR70" s="4">
        <v>1</v>
      </c>
      <c r="BS70" s="4"/>
      <c r="BT70" s="4"/>
      <c r="BU70" s="4"/>
      <c r="BV70" s="4"/>
      <c r="BW70" s="4"/>
      <c r="BX70" s="4"/>
      <c r="BY70" s="4">
        <v>1</v>
      </c>
      <c r="BZ70" s="4"/>
      <c r="CA70" s="4"/>
      <c r="CB70" s="4">
        <v>1</v>
      </c>
      <c r="CC70" s="4"/>
      <c r="CD70" s="4">
        <v>1</v>
      </c>
      <c r="CE70" s="4">
        <v>1</v>
      </c>
      <c r="CF70" s="4">
        <v>1</v>
      </c>
      <c r="CG70" s="4"/>
      <c r="CH70" s="4"/>
      <c r="CI70" s="4"/>
      <c r="CJ70" s="4"/>
      <c r="CK70" s="4"/>
      <c r="CL70" s="4"/>
      <c r="CM70" s="4"/>
      <c r="CN70" s="4">
        <v>1</v>
      </c>
      <c r="CO70" s="4"/>
      <c r="CP70" s="4"/>
      <c r="CQ70" s="4"/>
      <c r="CR70" s="4">
        <v>1</v>
      </c>
      <c r="CS70" s="4"/>
      <c r="CT70" s="4"/>
      <c r="CU70" s="4"/>
      <c r="CV70" s="4"/>
      <c r="CW70" s="4"/>
      <c r="CX70" s="4"/>
      <c r="CY70" s="4">
        <f t="shared" si="0"/>
        <v>21</v>
      </c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O70" s="47"/>
      <c r="ES70" s="47"/>
    </row>
    <row r="71" spans="1:149" ht="12.75">
      <c r="A71" s="2" t="s">
        <v>71</v>
      </c>
      <c r="B71" s="127" t="s">
        <v>18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>
        <v>1</v>
      </c>
      <c r="X71" s="4">
        <v>1</v>
      </c>
      <c r="Y71" s="4">
        <v>1</v>
      </c>
      <c r="Z71" s="4"/>
      <c r="AA71" s="4"/>
      <c r="AB71" s="4"/>
      <c r="AC71" s="4"/>
      <c r="AD71" s="4"/>
      <c r="AE71" s="4"/>
      <c r="AF71" s="4">
        <v>1</v>
      </c>
      <c r="AG71" s="4">
        <v>1</v>
      </c>
      <c r="AH71" s="4"/>
      <c r="AI71" s="4"/>
      <c r="AJ71" s="4"/>
      <c r="AK71" s="4">
        <v>1</v>
      </c>
      <c r="AL71" s="4"/>
      <c r="AM71" s="4"/>
      <c r="AN71" s="4"/>
      <c r="AO71" s="4"/>
      <c r="AP71" s="4"/>
      <c r="AQ71" s="4">
        <v>1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>
        <v>1</v>
      </c>
      <c r="BE71" s="4"/>
      <c r="BF71" s="4"/>
      <c r="BG71" s="4">
        <v>1</v>
      </c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>
        <v>1</v>
      </c>
      <c r="CF71" s="4"/>
      <c r="CG71" s="4"/>
      <c r="CH71" s="4"/>
      <c r="CI71" s="4"/>
      <c r="CJ71" s="4"/>
      <c r="CK71" s="4"/>
      <c r="CL71" s="4"/>
      <c r="CM71" s="4">
        <v>1</v>
      </c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>
        <f t="shared" si="0"/>
        <v>11</v>
      </c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O71" s="47"/>
      <c r="ES71" s="47"/>
    </row>
    <row r="72" spans="1:149" ht="12.75">
      <c r="A72" s="2" t="s">
        <v>72</v>
      </c>
      <c r="B72" s="127" t="s">
        <v>18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>
        <v>1</v>
      </c>
      <c r="X72" s="4">
        <v>1</v>
      </c>
      <c r="Y72" s="4">
        <v>1</v>
      </c>
      <c r="Z72" s="4"/>
      <c r="AA72" s="4"/>
      <c r="AB72" s="4"/>
      <c r="AC72" s="4"/>
      <c r="AD72" s="4"/>
      <c r="AE72" s="4"/>
      <c r="AF72" s="4">
        <v>1</v>
      </c>
      <c r="AG72" s="4">
        <v>1</v>
      </c>
      <c r="AH72" s="4"/>
      <c r="AI72" s="4"/>
      <c r="AJ72" s="4"/>
      <c r="AK72" s="4">
        <v>1</v>
      </c>
      <c r="AL72" s="4"/>
      <c r="AM72" s="4"/>
      <c r="AN72" s="4"/>
      <c r="AO72" s="4">
        <v>1</v>
      </c>
      <c r="AP72" s="4"/>
      <c r="AQ72" s="4">
        <v>1</v>
      </c>
      <c r="AR72" s="4"/>
      <c r="AS72" s="4"/>
      <c r="AT72" s="4"/>
      <c r="AU72" s="4">
        <v>1</v>
      </c>
      <c r="AV72" s="4"/>
      <c r="AW72" s="4"/>
      <c r="AX72" s="4"/>
      <c r="AY72" s="4"/>
      <c r="AZ72" s="4"/>
      <c r="BA72" s="4"/>
      <c r="BB72" s="4"/>
      <c r="BC72" s="4">
        <v>1</v>
      </c>
      <c r="BD72" s="4"/>
      <c r="BE72" s="4"/>
      <c r="BF72" s="4"/>
      <c r="BG72" s="4">
        <v>1</v>
      </c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>
        <v>1</v>
      </c>
      <c r="BS72" s="4"/>
      <c r="BT72" s="4">
        <v>2</v>
      </c>
      <c r="BU72" s="4"/>
      <c r="BV72" s="4"/>
      <c r="BW72" s="4"/>
      <c r="BX72" s="4"/>
      <c r="BY72" s="4"/>
      <c r="BZ72" s="4"/>
      <c r="CA72" s="4"/>
      <c r="CB72" s="4">
        <v>1</v>
      </c>
      <c r="CC72" s="4"/>
      <c r="CD72" s="4">
        <v>1</v>
      </c>
      <c r="CE72" s="4">
        <v>1</v>
      </c>
      <c r="CF72" s="4"/>
      <c r="CG72" s="4"/>
      <c r="CH72" s="4"/>
      <c r="CI72" s="4"/>
      <c r="CJ72" s="4"/>
      <c r="CK72" s="4">
        <v>1</v>
      </c>
      <c r="CL72" s="4">
        <v>1</v>
      </c>
      <c r="CM72" s="4">
        <v>1</v>
      </c>
      <c r="CN72" s="4"/>
      <c r="CO72" s="4"/>
      <c r="CP72" s="4"/>
      <c r="CQ72" s="4"/>
      <c r="CR72" s="4">
        <v>1</v>
      </c>
      <c r="CS72" s="4"/>
      <c r="CT72" s="4"/>
      <c r="CU72" s="4"/>
      <c r="CV72" s="4"/>
      <c r="CW72" s="4"/>
      <c r="CX72" s="4"/>
      <c r="CY72" s="4">
        <f t="shared" si="0"/>
        <v>21</v>
      </c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O72" s="47"/>
      <c r="ES72" s="47"/>
    </row>
    <row r="73" spans="1:149" ht="12.75">
      <c r="A73" s="149" t="s">
        <v>613</v>
      </c>
      <c r="B73" s="115" t="s">
        <v>18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>
        <v>1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>
        <v>1</v>
      </c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>
        <v>1</v>
      </c>
      <c r="CE73" s="4"/>
      <c r="CF73" s="4"/>
      <c r="CG73" s="4"/>
      <c r="CH73" s="4"/>
      <c r="CI73" s="4"/>
      <c r="CJ73" s="4"/>
      <c r="CK73" s="4"/>
      <c r="CL73" s="4"/>
      <c r="CM73" s="4"/>
      <c r="CN73" s="4">
        <v>1</v>
      </c>
      <c r="CO73" s="4"/>
      <c r="CP73" s="4"/>
      <c r="CQ73" s="4"/>
      <c r="CR73" s="4">
        <v>1</v>
      </c>
      <c r="CS73" s="4"/>
      <c r="CT73" s="4"/>
      <c r="CU73" s="4"/>
      <c r="CV73" s="4"/>
      <c r="CW73" s="4"/>
      <c r="CX73" s="4"/>
      <c r="CY73" s="4">
        <f t="shared" si="0"/>
        <v>5</v>
      </c>
      <c r="CZ73" s="4"/>
      <c r="DA73" s="4"/>
      <c r="DB73" s="4"/>
      <c r="DC73" s="4"/>
      <c r="DD73" s="4"/>
      <c r="DE73" s="4"/>
      <c r="DF73" s="4"/>
      <c r="DG73" s="4"/>
      <c r="DH73" s="49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O73" s="47"/>
      <c r="ES73" s="47"/>
    </row>
    <row r="74" spans="1:103" ht="12.75">
      <c r="A74" s="2" t="s">
        <v>257</v>
      </c>
      <c r="B74" s="127" t="s">
        <v>18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1</v>
      </c>
      <c r="X74" s="1"/>
      <c r="Y74" s="1"/>
      <c r="Z74" s="1">
        <v>5</v>
      </c>
      <c r="AA74" s="1"/>
      <c r="AB74" s="1"/>
      <c r="AC74" s="1"/>
      <c r="AD74" s="1"/>
      <c r="AE74" s="1"/>
      <c r="AF74" s="1">
        <v>1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>
        <v>1</v>
      </c>
      <c r="AR74" s="1"/>
      <c r="AS74" s="1"/>
      <c r="AT74" s="1"/>
      <c r="AU74" s="1">
        <v>1</v>
      </c>
      <c r="AV74" s="1"/>
      <c r="AW74" s="1"/>
      <c r="AX74" s="1"/>
      <c r="AY74" s="1"/>
      <c r="AZ74" s="1"/>
      <c r="BA74" s="1"/>
      <c r="BB74" s="1"/>
      <c r="BC74" s="1"/>
      <c r="BD74" s="1">
        <v>1</v>
      </c>
      <c r="BE74" s="1"/>
      <c r="BF74" s="1">
        <v>1</v>
      </c>
      <c r="BG74" s="1">
        <v>1</v>
      </c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>
        <v>1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4">
        <f aca="true" t="shared" si="1" ref="CY74:CY138">SUM(C74:CX74)</f>
        <v>13</v>
      </c>
    </row>
    <row r="75" spans="1:149" ht="12.75">
      <c r="A75" s="149" t="s">
        <v>661</v>
      </c>
      <c r="B75" s="123" t="s">
        <v>18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>
        <v>1</v>
      </c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>
        <f t="shared" si="1"/>
        <v>1</v>
      </c>
      <c r="CZ75" s="4"/>
      <c r="DA75" s="4"/>
      <c r="DB75" s="4"/>
      <c r="DC75" s="4"/>
      <c r="DD75" s="4"/>
      <c r="DE75" s="4"/>
      <c r="DF75" s="4"/>
      <c r="DG75" s="4"/>
      <c r="DH75" s="49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O75" s="47"/>
      <c r="ES75" s="47"/>
    </row>
    <row r="76" spans="1:103" ht="12.75">
      <c r="A76" s="126" t="s">
        <v>498</v>
      </c>
      <c r="B76" s="123" t="s">
        <v>18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1</v>
      </c>
      <c r="X76" s="1"/>
      <c r="Y76" s="1"/>
      <c r="Z76" s="1"/>
      <c r="AA76" s="1"/>
      <c r="AB76" s="1"/>
      <c r="AC76" s="1"/>
      <c r="AD76" s="1"/>
      <c r="AE76" s="1"/>
      <c r="AF76" s="1">
        <v>1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>
        <v>1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>
        <v>1</v>
      </c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4">
        <f t="shared" si="1"/>
        <v>4</v>
      </c>
    </row>
    <row r="77" spans="1:149" ht="12.75">
      <c r="A77" s="114" t="s">
        <v>270</v>
      </c>
      <c r="B77" s="115" t="s">
        <v>18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>
        <f t="shared" si="1"/>
        <v>0</v>
      </c>
      <c r="CZ77" s="4"/>
      <c r="DA77" s="4"/>
      <c r="DB77" s="4"/>
      <c r="DC77" s="4"/>
      <c r="DD77" s="4"/>
      <c r="DE77" s="4"/>
      <c r="DF77" s="4"/>
      <c r="DG77" s="4"/>
      <c r="DH77" s="49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O77" s="47"/>
      <c r="ES77" s="47"/>
    </row>
    <row r="78" spans="1:149" ht="12.75">
      <c r="A78" s="114" t="s">
        <v>275</v>
      </c>
      <c r="B78" s="115" t="s">
        <v>18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>
        <f t="shared" si="1"/>
        <v>0</v>
      </c>
      <c r="CZ78" s="4"/>
      <c r="DA78" s="4"/>
      <c r="DB78" s="4"/>
      <c r="DC78" s="4"/>
      <c r="DD78" s="4"/>
      <c r="DE78" s="4"/>
      <c r="DF78" s="4"/>
      <c r="DG78" s="4"/>
      <c r="DH78" s="49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O78" s="47"/>
      <c r="ES78" s="47"/>
    </row>
    <row r="79" spans="1:103" ht="12.75">
      <c r="A79" s="2" t="s">
        <v>95</v>
      </c>
      <c r="B79" s="127" t="s">
        <v>19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1"/>
      <c r="CY79" s="4">
        <f t="shared" si="1"/>
        <v>0</v>
      </c>
    </row>
    <row r="80" spans="1:140" ht="12.75">
      <c r="A80" s="112" t="s">
        <v>286</v>
      </c>
      <c r="B80" s="109" t="s">
        <v>19</v>
      </c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4"/>
      <c r="CY80" s="4">
        <f t="shared" si="1"/>
        <v>0</v>
      </c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V80" s="1"/>
      <c r="EA80" s="1"/>
      <c r="EB80" s="1"/>
      <c r="EC80" s="1"/>
      <c r="ED80" s="1"/>
      <c r="EG80" s="1"/>
      <c r="EI80" s="1"/>
      <c r="EJ80" s="1"/>
    </row>
    <row r="81" spans="1:103" ht="12.75">
      <c r="A81" s="2" t="s">
        <v>171</v>
      </c>
      <c r="B81" s="127" t="s">
        <v>18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>
        <v>1</v>
      </c>
      <c r="X81" s="1">
        <v>1</v>
      </c>
      <c r="Y81" s="1">
        <v>1</v>
      </c>
      <c r="Z81" s="1"/>
      <c r="AA81" s="1"/>
      <c r="AB81" s="1"/>
      <c r="AC81" s="1"/>
      <c r="AD81" s="1"/>
      <c r="AE81" s="1"/>
      <c r="AF81" s="1">
        <v>1</v>
      </c>
      <c r="AG81" s="1">
        <v>1</v>
      </c>
      <c r="AH81" s="1"/>
      <c r="AI81" s="1"/>
      <c r="AJ81" s="1"/>
      <c r="AK81" s="1">
        <v>1</v>
      </c>
      <c r="AL81" s="1"/>
      <c r="AM81" s="1"/>
      <c r="AN81" s="1"/>
      <c r="AO81" s="1">
        <v>1</v>
      </c>
      <c r="AP81" s="1"/>
      <c r="AQ81" s="1">
        <v>1</v>
      </c>
      <c r="AR81" s="1"/>
      <c r="AS81" s="1"/>
      <c r="AT81" s="1"/>
      <c r="AU81" s="1">
        <v>1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>
        <v>1</v>
      </c>
      <c r="BY81" s="1"/>
      <c r="BZ81" s="1"/>
      <c r="CA81" s="1"/>
      <c r="CB81" s="1"/>
      <c r="CC81" s="1"/>
      <c r="CD81" s="1"/>
      <c r="CE81" s="1">
        <v>1</v>
      </c>
      <c r="CF81" s="1"/>
      <c r="CG81" s="1"/>
      <c r="CH81" s="1"/>
      <c r="CI81" s="1"/>
      <c r="CJ81" s="1"/>
      <c r="CK81" s="1">
        <v>1</v>
      </c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4">
        <f t="shared" si="1"/>
        <v>12</v>
      </c>
    </row>
    <row r="82" spans="1:103" ht="12.75">
      <c r="A82" s="149" t="s">
        <v>542</v>
      </c>
      <c r="B82" s="123" t="s">
        <v>17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>
        <v>1</v>
      </c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4">
        <f t="shared" si="1"/>
        <v>1</v>
      </c>
    </row>
    <row r="83" spans="1:103" ht="12.75">
      <c r="A83" s="149" t="s">
        <v>873</v>
      </c>
      <c r="B83" s="123" t="s">
        <v>152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>
        <v>1</v>
      </c>
      <c r="CE83" s="1"/>
      <c r="CF83" s="1"/>
      <c r="CG83" s="1"/>
      <c r="CH83" s="1"/>
      <c r="CI83" s="1"/>
      <c r="CJ83" s="1">
        <v>1</v>
      </c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4">
        <f>SUM(C83:CX83)</f>
        <v>2</v>
      </c>
    </row>
    <row r="84" spans="1:103" ht="12.75">
      <c r="A84" s="2" t="s">
        <v>268</v>
      </c>
      <c r="B84" s="127" t="s">
        <v>152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1</v>
      </c>
      <c r="X84" s="4"/>
      <c r="Y84" s="4">
        <v>1</v>
      </c>
      <c r="Z84" s="4"/>
      <c r="AA84" s="4"/>
      <c r="AB84" s="4"/>
      <c r="AC84" s="4"/>
      <c r="AD84" s="4"/>
      <c r="AE84" s="4"/>
      <c r="AF84" s="4"/>
      <c r="AG84" s="4">
        <v>1</v>
      </c>
      <c r="AH84" s="4"/>
      <c r="AI84" s="4"/>
      <c r="AJ84" s="4"/>
      <c r="AK84" s="4">
        <v>1</v>
      </c>
      <c r="AL84" s="4"/>
      <c r="AM84" s="4"/>
      <c r="AN84" s="4"/>
      <c r="AO84" s="4">
        <v>1</v>
      </c>
      <c r="AP84" s="4"/>
      <c r="AQ84" s="4">
        <v>1</v>
      </c>
      <c r="AR84" s="4"/>
      <c r="AS84" s="4"/>
      <c r="AT84" s="4"/>
      <c r="AU84" s="4">
        <v>1</v>
      </c>
      <c r="AV84" s="4"/>
      <c r="AW84" s="4"/>
      <c r="AX84" s="4"/>
      <c r="AY84" s="4"/>
      <c r="AZ84" s="4">
        <v>1</v>
      </c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>
        <v>1</v>
      </c>
      <c r="CE84" s="4"/>
      <c r="CF84" s="4"/>
      <c r="CG84" s="4"/>
      <c r="CH84" s="4"/>
      <c r="CI84" s="4"/>
      <c r="CJ84" s="4">
        <v>1</v>
      </c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1"/>
      <c r="CY84" s="4">
        <f t="shared" si="1"/>
        <v>10</v>
      </c>
    </row>
    <row r="85" spans="1:103" ht="12.75">
      <c r="A85" s="2" t="s">
        <v>256</v>
      </c>
      <c r="B85" s="127" t="s">
        <v>152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1</v>
      </c>
      <c r="X85" s="1"/>
      <c r="Y85" s="1">
        <v>1</v>
      </c>
      <c r="Z85" s="1"/>
      <c r="AA85" s="1"/>
      <c r="AB85" s="1"/>
      <c r="AC85" s="1"/>
      <c r="AD85" s="1"/>
      <c r="AE85" s="1"/>
      <c r="AF85" s="1">
        <v>1</v>
      </c>
      <c r="AG85" s="1">
        <v>1</v>
      </c>
      <c r="AH85" s="1"/>
      <c r="AI85" s="1"/>
      <c r="AJ85" s="1"/>
      <c r="AK85" s="1">
        <v>1</v>
      </c>
      <c r="AL85" s="1"/>
      <c r="AM85" s="1"/>
      <c r="AN85" s="1"/>
      <c r="AO85" s="1">
        <v>1</v>
      </c>
      <c r="AP85" s="1"/>
      <c r="AQ85" s="1">
        <v>1</v>
      </c>
      <c r="AR85" s="1"/>
      <c r="AS85" s="1"/>
      <c r="AT85" s="1"/>
      <c r="AU85" s="1">
        <v>1</v>
      </c>
      <c r="AV85" s="1"/>
      <c r="AW85" s="1"/>
      <c r="AX85" s="1"/>
      <c r="AY85" s="1"/>
      <c r="AZ85" s="1">
        <v>1</v>
      </c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>
        <v>1</v>
      </c>
      <c r="CE85" s="1"/>
      <c r="CF85" s="1"/>
      <c r="CG85" s="1"/>
      <c r="CH85" s="1"/>
      <c r="CI85" s="1"/>
      <c r="CJ85" s="1">
        <v>1</v>
      </c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4">
        <f t="shared" si="1"/>
        <v>11</v>
      </c>
    </row>
    <row r="86" spans="1:103" ht="12.75">
      <c r="A86" s="114" t="s">
        <v>220</v>
      </c>
      <c r="B86" s="115" t="s">
        <v>152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1</v>
      </c>
      <c r="X86" s="1">
        <v>1</v>
      </c>
      <c r="Y86" s="1"/>
      <c r="Z86" s="1">
        <v>5</v>
      </c>
      <c r="AA86" s="1"/>
      <c r="AB86" s="1"/>
      <c r="AC86" s="1"/>
      <c r="AD86" s="1"/>
      <c r="AE86" s="1"/>
      <c r="AF86" s="1">
        <v>1</v>
      </c>
      <c r="AG86" s="1">
        <v>1</v>
      </c>
      <c r="AH86" s="1"/>
      <c r="AI86" s="1"/>
      <c r="AJ86" s="1"/>
      <c r="AK86" s="1">
        <v>1</v>
      </c>
      <c r="AL86" s="1"/>
      <c r="AM86" s="1"/>
      <c r="AN86" s="1"/>
      <c r="AO86" s="1"/>
      <c r="AP86" s="1"/>
      <c r="AQ86" s="1">
        <v>1</v>
      </c>
      <c r="AR86" s="1"/>
      <c r="AS86" s="1"/>
      <c r="AT86" s="1"/>
      <c r="AU86" s="1">
        <v>1</v>
      </c>
      <c r="AV86" s="1"/>
      <c r="AW86" s="1"/>
      <c r="AX86" s="1"/>
      <c r="AY86" s="1"/>
      <c r="AZ86" s="1">
        <v>1</v>
      </c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>
        <v>1</v>
      </c>
      <c r="CC86" s="1"/>
      <c r="CD86" s="1">
        <v>1</v>
      </c>
      <c r="CE86" s="1"/>
      <c r="CF86" s="1"/>
      <c r="CG86" s="1"/>
      <c r="CH86" s="1"/>
      <c r="CI86" s="1"/>
      <c r="CJ86" s="1"/>
      <c r="CK86" s="1">
        <v>1</v>
      </c>
      <c r="CL86" s="1">
        <v>1</v>
      </c>
      <c r="CM86" s="1">
        <v>1</v>
      </c>
      <c r="CN86" s="1"/>
      <c r="CO86" s="1"/>
      <c r="CP86" s="1"/>
      <c r="CQ86" s="1"/>
      <c r="CR86" s="1">
        <v>1</v>
      </c>
      <c r="CS86" s="1"/>
      <c r="CT86" s="1"/>
      <c r="CU86" s="1"/>
      <c r="CV86" s="1"/>
      <c r="CW86" s="1"/>
      <c r="CX86" s="1"/>
      <c r="CY86" s="4">
        <f t="shared" si="1"/>
        <v>19</v>
      </c>
    </row>
    <row r="87" spans="1:103" ht="12.75">
      <c r="A87" s="2" t="s">
        <v>252</v>
      </c>
      <c r="B87" s="127" t="s">
        <v>152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>
        <v>1</v>
      </c>
      <c r="AH87" s="4"/>
      <c r="AI87" s="4"/>
      <c r="AJ87" s="4"/>
      <c r="AK87" s="4">
        <v>1</v>
      </c>
      <c r="AL87" s="4"/>
      <c r="AM87" s="4"/>
      <c r="AN87" s="4"/>
      <c r="AO87" s="4"/>
      <c r="AP87" s="4"/>
      <c r="AQ87" s="4">
        <v>1</v>
      </c>
      <c r="AR87" s="4"/>
      <c r="AS87" s="4"/>
      <c r="AT87" s="4"/>
      <c r="AU87" s="4"/>
      <c r="AV87" s="4"/>
      <c r="AW87" s="4"/>
      <c r="AX87" s="4"/>
      <c r="AY87" s="4"/>
      <c r="AZ87" s="4">
        <v>1</v>
      </c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1"/>
      <c r="CY87" s="4">
        <f t="shared" si="1"/>
        <v>4</v>
      </c>
    </row>
    <row r="88" spans="1:103" ht="12.75">
      <c r="A88" s="2" t="s">
        <v>178</v>
      </c>
      <c r="B88" s="127" t="s">
        <v>152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>
        <v>1</v>
      </c>
      <c r="X88" s="1">
        <v>1</v>
      </c>
      <c r="Y88" s="1">
        <v>1</v>
      </c>
      <c r="Z88" s="1">
        <v>5</v>
      </c>
      <c r="AA88" s="1"/>
      <c r="AB88" s="1"/>
      <c r="AC88" s="1"/>
      <c r="AD88" s="1"/>
      <c r="AE88" s="1"/>
      <c r="AF88" s="1">
        <v>1</v>
      </c>
      <c r="AG88" s="1">
        <v>1</v>
      </c>
      <c r="AH88" s="1"/>
      <c r="AI88" s="1"/>
      <c r="AJ88" s="1"/>
      <c r="AK88" s="1">
        <v>1</v>
      </c>
      <c r="AL88" s="1"/>
      <c r="AM88" s="1"/>
      <c r="AN88" s="1"/>
      <c r="AO88" s="1"/>
      <c r="AP88" s="1"/>
      <c r="AQ88" s="1">
        <v>1</v>
      </c>
      <c r="AR88" s="1"/>
      <c r="AS88" s="1"/>
      <c r="AT88" s="1"/>
      <c r="AU88" s="1">
        <v>1</v>
      </c>
      <c r="AV88" s="1"/>
      <c r="AW88" s="1"/>
      <c r="AX88" s="1">
        <v>1</v>
      </c>
      <c r="AY88" s="1"/>
      <c r="AZ88" s="1">
        <v>1</v>
      </c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>
        <v>2</v>
      </c>
      <c r="BU88" s="1"/>
      <c r="BV88" s="1"/>
      <c r="BW88" s="1"/>
      <c r="BX88" s="1"/>
      <c r="BY88" s="1"/>
      <c r="BZ88" s="1"/>
      <c r="CA88" s="1"/>
      <c r="CB88" s="1">
        <v>1</v>
      </c>
      <c r="CC88" s="1"/>
      <c r="CD88" s="1">
        <v>1</v>
      </c>
      <c r="CE88" s="1">
        <v>1</v>
      </c>
      <c r="CF88" s="1"/>
      <c r="CG88" s="1"/>
      <c r="CH88" s="1"/>
      <c r="CI88" s="1"/>
      <c r="CJ88" s="1"/>
      <c r="CK88" s="1">
        <v>1</v>
      </c>
      <c r="CL88" s="1">
        <v>1</v>
      </c>
      <c r="CM88" s="1">
        <v>1</v>
      </c>
      <c r="CN88" s="1"/>
      <c r="CO88" s="1"/>
      <c r="CP88" s="1"/>
      <c r="CQ88" s="1"/>
      <c r="CR88" s="1">
        <v>1</v>
      </c>
      <c r="CS88" s="1"/>
      <c r="CT88" s="1"/>
      <c r="CU88" s="1"/>
      <c r="CV88" s="1"/>
      <c r="CW88" s="1"/>
      <c r="CX88" s="1"/>
      <c r="CY88" s="4">
        <f t="shared" si="1"/>
        <v>24</v>
      </c>
    </row>
    <row r="89" spans="1:103" ht="12.75">
      <c r="A89" s="2" t="s">
        <v>253</v>
      </c>
      <c r="B89" s="127" t="s">
        <v>152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>
        <v>1</v>
      </c>
      <c r="AR89" s="4"/>
      <c r="AS89" s="4"/>
      <c r="AT89" s="4"/>
      <c r="AU89" s="4"/>
      <c r="AV89" s="4"/>
      <c r="AW89" s="4"/>
      <c r="AX89" s="4">
        <v>1</v>
      </c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>
        <v>1</v>
      </c>
      <c r="CE89" s="4"/>
      <c r="CF89" s="4"/>
      <c r="CG89" s="4"/>
      <c r="CH89" s="4"/>
      <c r="CI89" s="4"/>
      <c r="CJ89" s="4"/>
      <c r="CK89" s="4">
        <v>1</v>
      </c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1"/>
      <c r="CY89" s="4">
        <f t="shared" si="1"/>
        <v>4</v>
      </c>
    </row>
    <row r="90" spans="1:103" ht="12.75">
      <c r="A90" s="114" t="s">
        <v>274</v>
      </c>
      <c r="B90" s="115" t="s">
        <v>19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4">
        <f t="shared" si="1"/>
        <v>0</v>
      </c>
    </row>
    <row r="91" spans="1:103" ht="12.75">
      <c r="A91" s="149" t="s">
        <v>560</v>
      </c>
      <c r="B91" s="123" t="s">
        <v>21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>
        <v>1</v>
      </c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4">
        <f t="shared" si="1"/>
        <v>1</v>
      </c>
    </row>
    <row r="92" spans="1:103" ht="12.75">
      <c r="A92" s="149" t="s">
        <v>561</v>
      </c>
      <c r="B92" s="123" t="s">
        <v>21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>
        <v>1</v>
      </c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4">
        <f t="shared" si="1"/>
        <v>1</v>
      </c>
    </row>
    <row r="93" spans="1:103" ht="12.75">
      <c r="A93" s="2" t="s">
        <v>197</v>
      </c>
      <c r="B93" s="127" t="s">
        <v>21</v>
      </c>
      <c r="C93" s="1"/>
      <c r="D93" s="1"/>
      <c r="E93" s="1"/>
      <c r="F93" s="1"/>
      <c r="G93" s="1"/>
      <c r="H93" s="1">
        <v>2</v>
      </c>
      <c r="I93" s="1">
        <v>1</v>
      </c>
      <c r="J93" s="1"/>
      <c r="K93" s="1">
        <v>1</v>
      </c>
      <c r="L93" s="1"/>
      <c r="M93" s="1">
        <v>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>
        <v>1</v>
      </c>
      <c r="Y93" s="1">
        <v>1</v>
      </c>
      <c r="Z93" s="1">
        <v>5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>
        <v>1</v>
      </c>
      <c r="AT93" s="1"/>
      <c r="AU93" s="1">
        <v>1</v>
      </c>
      <c r="AV93" s="1"/>
      <c r="AW93" s="1">
        <v>1</v>
      </c>
      <c r="AX93" s="1"/>
      <c r="AY93" s="1"/>
      <c r="AZ93" s="1"/>
      <c r="BA93" s="1"/>
      <c r="BB93" s="1"/>
      <c r="BC93" s="1">
        <v>1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4">
        <f t="shared" si="1"/>
        <v>16</v>
      </c>
    </row>
    <row r="94" spans="1:103" ht="12.75">
      <c r="A94" s="2" t="s">
        <v>198</v>
      </c>
      <c r="B94" s="127" t="s">
        <v>21</v>
      </c>
      <c r="C94" s="1"/>
      <c r="D94" s="1"/>
      <c r="E94" s="1">
        <v>2</v>
      </c>
      <c r="F94" s="1">
        <v>1</v>
      </c>
      <c r="G94" s="1">
        <v>1</v>
      </c>
      <c r="H94" s="1"/>
      <c r="I94" s="1"/>
      <c r="J94" s="1">
        <v>1</v>
      </c>
      <c r="K94" s="1">
        <v>1</v>
      </c>
      <c r="L94" s="1"/>
      <c r="M94" s="1">
        <v>1</v>
      </c>
      <c r="N94" s="1">
        <v>1</v>
      </c>
      <c r="O94" s="1"/>
      <c r="P94" s="1">
        <v>2</v>
      </c>
      <c r="Q94" s="1"/>
      <c r="R94" s="1"/>
      <c r="S94" s="1">
        <v>1</v>
      </c>
      <c r="T94" s="1">
        <v>1</v>
      </c>
      <c r="U94" s="1"/>
      <c r="V94" s="1"/>
      <c r="W94" s="1">
        <v>1</v>
      </c>
      <c r="X94" s="1"/>
      <c r="Y94" s="1"/>
      <c r="Z94" s="1">
        <v>5</v>
      </c>
      <c r="AA94" s="1"/>
      <c r="AB94" s="1"/>
      <c r="AC94" s="1">
        <v>1</v>
      </c>
      <c r="AD94" s="1"/>
      <c r="AE94" s="1"/>
      <c r="AF94" s="1"/>
      <c r="AG94" s="1"/>
      <c r="AH94" s="1">
        <v>1</v>
      </c>
      <c r="AI94" s="1">
        <v>1</v>
      </c>
      <c r="AJ94" s="1"/>
      <c r="AK94" s="1"/>
      <c r="AL94" s="1"/>
      <c r="AM94" s="1">
        <v>1</v>
      </c>
      <c r="AN94" s="1"/>
      <c r="AO94" s="1"/>
      <c r="AP94" s="1"/>
      <c r="AQ94" s="1"/>
      <c r="AR94" s="1"/>
      <c r="AS94" s="1"/>
      <c r="AT94" s="1">
        <v>3</v>
      </c>
      <c r="AU94" s="1">
        <v>1</v>
      </c>
      <c r="AV94" s="1"/>
      <c r="AW94" s="1"/>
      <c r="AX94" s="1">
        <v>1</v>
      </c>
      <c r="AY94" s="1"/>
      <c r="AZ94" s="1"/>
      <c r="BA94" s="1">
        <v>1</v>
      </c>
      <c r="BB94" s="1"/>
      <c r="BC94" s="1"/>
      <c r="BD94" s="1"/>
      <c r="BE94" s="1"/>
      <c r="BF94" s="1"/>
      <c r="BG94" s="1"/>
      <c r="BH94" s="1">
        <v>2</v>
      </c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>
        <v>1</v>
      </c>
      <c r="BZ94" s="1"/>
      <c r="CA94" s="1"/>
      <c r="CB94" s="1">
        <v>1</v>
      </c>
      <c r="CC94" s="1"/>
      <c r="CD94" s="1">
        <v>1</v>
      </c>
      <c r="CE94" s="1"/>
      <c r="CF94" s="1">
        <v>1</v>
      </c>
      <c r="CG94" s="1"/>
      <c r="CH94" s="1"/>
      <c r="CI94" s="1"/>
      <c r="CJ94" s="1"/>
      <c r="CK94" s="1"/>
      <c r="CL94" s="1"/>
      <c r="CM94" s="1"/>
      <c r="CN94" s="1">
        <v>1</v>
      </c>
      <c r="CO94" s="1"/>
      <c r="CP94" s="1"/>
      <c r="CQ94" s="1"/>
      <c r="CR94" s="1">
        <v>1</v>
      </c>
      <c r="CS94" s="1">
        <v>1</v>
      </c>
      <c r="CT94" s="1">
        <v>3</v>
      </c>
      <c r="CU94" s="1"/>
      <c r="CV94" s="1">
        <v>1</v>
      </c>
      <c r="CW94" s="1"/>
      <c r="CX94" s="1"/>
      <c r="CY94" s="4">
        <f t="shared" si="1"/>
        <v>41</v>
      </c>
    </row>
    <row r="95" spans="1:103" ht="12.75">
      <c r="A95" s="2" t="s">
        <v>199</v>
      </c>
      <c r="B95" s="127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1</v>
      </c>
      <c r="N95" s="1"/>
      <c r="O95" s="1"/>
      <c r="P95" s="1">
        <v>1</v>
      </c>
      <c r="Q95" s="1"/>
      <c r="R95" s="1"/>
      <c r="S95" s="1"/>
      <c r="T95" s="1"/>
      <c r="U95" s="1"/>
      <c r="V95" s="1"/>
      <c r="W95" s="1">
        <v>1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>
        <v>1</v>
      </c>
      <c r="AP95" s="1"/>
      <c r="AQ95" s="1">
        <v>1</v>
      </c>
      <c r="AR95" s="1"/>
      <c r="AS95" s="1">
        <v>1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>
        <v>1</v>
      </c>
      <c r="BG95" s="1">
        <v>1</v>
      </c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4">
        <f t="shared" si="1"/>
        <v>8</v>
      </c>
    </row>
    <row r="96" spans="1:103" ht="12.75">
      <c r="A96" s="2" t="s">
        <v>106</v>
      </c>
      <c r="B96" s="127" t="s">
        <v>21</v>
      </c>
      <c r="C96" s="1"/>
      <c r="D96" s="1"/>
      <c r="E96" s="1"/>
      <c r="F96" s="1"/>
      <c r="G96" s="1"/>
      <c r="H96" s="1">
        <v>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>
        <v>1</v>
      </c>
      <c r="AT96" s="1"/>
      <c r="AU96" s="1"/>
      <c r="AV96" s="1"/>
      <c r="AW96" s="1">
        <v>1</v>
      </c>
      <c r="AX96" s="1"/>
      <c r="AY96" s="1"/>
      <c r="AZ96" s="1"/>
      <c r="BA96" s="1"/>
      <c r="BB96" s="1"/>
      <c r="BC96" s="1"/>
      <c r="BD96" s="1"/>
      <c r="BE96" s="1"/>
      <c r="BF96" s="1">
        <v>1</v>
      </c>
      <c r="BG96" s="1">
        <v>1</v>
      </c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4">
        <f t="shared" si="1"/>
        <v>6</v>
      </c>
    </row>
    <row r="97" spans="1:103" ht="12.75">
      <c r="A97" s="2" t="s">
        <v>196</v>
      </c>
      <c r="B97" s="127" t="s">
        <v>21</v>
      </c>
      <c r="C97" s="1"/>
      <c r="D97" s="1"/>
      <c r="E97" s="1"/>
      <c r="F97" s="1"/>
      <c r="G97" s="1"/>
      <c r="H97" s="1">
        <v>2</v>
      </c>
      <c r="I97" s="1">
        <v>1</v>
      </c>
      <c r="J97" s="1"/>
      <c r="K97" s="1">
        <v>1</v>
      </c>
      <c r="L97" s="1"/>
      <c r="M97" s="1">
        <v>1</v>
      </c>
      <c r="N97" s="1"/>
      <c r="O97" s="1"/>
      <c r="P97" s="1">
        <v>1</v>
      </c>
      <c r="Q97" s="1"/>
      <c r="R97" s="1"/>
      <c r="S97" s="1"/>
      <c r="T97" s="1"/>
      <c r="U97" s="1"/>
      <c r="V97" s="1"/>
      <c r="W97" s="1">
        <v>1</v>
      </c>
      <c r="X97" s="1"/>
      <c r="Y97" s="1"/>
      <c r="Z97" s="1">
        <v>1</v>
      </c>
      <c r="AA97" s="1"/>
      <c r="AB97" s="1"/>
      <c r="AC97" s="1"/>
      <c r="AD97" s="1"/>
      <c r="AE97" s="1"/>
      <c r="AF97" s="1"/>
      <c r="AG97" s="1"/>
      <c r="AH97" s="1">
        <v>1</v>
      </c>
      <c r="AI97" s="1">
        <v>1</v>
      </c>
      <c r="AJ97" s="1"/>
      <c r="AK97" s="1"/>
      <c r="AL97" s="1"/>
      <c r="AM97" s="1"/>
      <c r="AN97" s="1"/>
      <c r="AO97" s="1">
        <v>1</v>
      </c>
      <c r="AP97" s="1"/>
      <c r="AQ97" s="1">
        <v>1</v>
      </c>
      <c r="AR97" s="1"/>
      <c r="AS97" s="1">
        <v>1</v>
      </c>
      <c r="AT97" s="1"/>
      <c r="AU97" s="1"/>
      <c r="AV97" s="1"/>
      <c r="AW97" s="1">
        <v>1</v>
      </c>
      <c r="AX97" s="1"/>
      <c r="AY97" s="1"/>
      <c r="AZ97" s="1"/>
      <c r="BA97" s="1"/>
      <c r="BB97" s="1"/>
      <c r="BC97" s="1">
        <v>1</v>
      </c>
      <c r="BD97" s="1"/>
      <c r="BE97" s="1"/>
      <c r="BF97" s="1"/>
      <c r="BG97" s="1"/>
      <c r="BH97" s="1">
        <v>2</v>
      </c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>
        <v>1</v>
      </c>
      <c r="CC97" s="1"/>
      <c r="CD97" s="1">
        <v>1</v>
      </c>
      <c r="CE97" s="1"/>
      <c r="CF97" s="1"/>
      <c r="CG97" s="1"/>
      <c r="CH97" s="1"/>
      <c r="CI97" s="1"/>
      <c r="CJ97" s="1"/>
      <c r="CK97" s="1"/>
      <c r="CL97" s="1"/>
      <c r="CM97" s="1"/>
      <c r="CN97" s="1">
        <v>1</v>
      </c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4">
        <f t="shared" si="1"/>
        <v>20</v>
      </c>
    </row>
    <row r="98" spans="1:149" ht="12.75">
      <c r="A98" s="2" t="s">
        <v>159</v>
      </c>
      <c r="B98" s="127" t="s">
        <v>18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"/>
      <c r="CY98" s="4">
        <f t="shared" si="1"/>
        <v>0</v>
      </c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O98" s="47"/>
      <c r="ES98" s="47"/>
    </row>
    <row r="99" spans="1:103" ht="12.75">
      <c r="A99" s="2" t="s">
        <v>107</v>
      </c>
      <c r="B99" s="127" t="s">
        <v>21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4">
        <f t="shared" si="1"/>
        <v>0</v>
      </c>
    </row>
    <row r="100" spans="1:103" ht="12.75">
      <c r="A100" s="2" t="s">
        <v>200</v>
      </c>
      <c r="B100" s="127" t="s">
        <v>21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>
        <v>1</v>
      </c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4">
        <f t="shared" si="1"/>
        <v>1</v>
      </c>
    </row>
    <row r="101" spans="1:103" ht="12.75">
      <c r="A101" s="2" t="s">
        <v>201</v>
      </c>
      <c r="B101" s="127" t="s">
        <v>21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>
        <v>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>
        <v>1</v>
      </c>
      <c r="CG101" s="1"/>
      <c r="CH101" s="1"/>
      <c r="CI101" s="1"/>
      <c r="CJ101" s="1"/>
      <c r="CK101" s="1"/>
      <c r="CL101" s="1"/>
      <c r="CM101" s="1"/>
      <c r="CN101" s="1">
        <v>1</v>
      </c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4">
        <f t="shared" si="1"/>
        <v>3</v>
      </c>
    </row>
    <row r="102" spans="1:103" ht="12.75">
      <c r="A102" s="149" t="s">
        <v>836</v>
      </c>
      <c r="B102" s="123" t="s">
        <v>18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>
        <v>5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4">
        <f>SUM(C102:CX102)</f>
        <v>5</v>
      </c>
    </row>
    <row r="103" spans="1:103" ht="12.75">
      <c r="A103" s="126" t="s">
        <v>929</v>
      </c>
      <c r="B103" s="123" t="s">
        <v>21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>
        <v>1</v>
      </c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4">
        <f>SUM(C103:CX103)</f>
        <v>1</v>
      </c>
    </row>
    <row r="104" spans="1:149" ht="12.75">
      <c r="A104" s="2" t="s">
        <v>73</v>
      </c>
      <c r="B104" s="127" t="s">
        <v>18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>
        <v>1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>
        <v>1</v>
      </c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>
        <v>1</v>
      </c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>
        <v>1</v>
      </c>
      <c r="CS104" s="4"/>
      <c r="CT104" s="4"/>
      <c r="CU104" s="4"/>
      <c r="CV104" s="4"/>
      <c r="CW104" s="4"/>
      <c r="CX104" s="4"/>
      <c r="CY104" s="4">
        <f t="shared" si="1"/>
        <v>4</v>
      </c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O104" s="47"/>
      <c r="ES104" s="47"/>
    </row>
    <row r="105" spans="1:149" ht="12.75">
      <c r="A105" s="2" t="s">
        <v>74</v>
      </c>
      <c r="B105" s="127" t="s">
        <v>18</v>
      </c>
      <c r="C105" s="4"/>
      <c r="D105" s="4"/>
      <c r="E105" s="4"/>
      <c r="F105" s="4">
        <v>1</v>
      </c>
      <c r="G105" s="4">
        <v>1</v>
      </c>
      <c r="H105" s="4">
        <v>2</v>
      </c>
      <c r="I105" s="4">
        <v>1</v>
      </c>
      <c r="J105" s="4"/>
      <c r="K105" s="4">
        <v>1</v>
      </c>
      <c r="L105" s="4">
        <v>1</v>
      </c>
      <c r="M105" s="4">
        <v>1</v>
      </c>
      <c r="N105" s="4"/>
      <c r="O105" s="4">
        <v>1</v>
      </c>
      <c r="P105" s="4">
        <v>2</v>
      </c>
      <c r="Q105" s="4">
        <v>1</v>
      </c>
      <c r="R105" s="4"/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5</v>
      </c>
      <c r="AA105" s="4"/>
      <c r="AB105" s="4"/>
      <c r="AC105" s="4"/>
      <c r="AD105" s="4"/>
      <c r="AE105" s="4"/>
      <c r="AF105" s="4"/>
      <c r="AG105" s="4"/>
      <c r="AH105" s="4">
        <v>1</v>
      </c>
      <c r="AI105" s="4">
        <v>1</v>
      </c>
      <c r="AJ105" s="4"/>
      <c r="AK105" s="4"/>
      <c r="AL105" s="4"/>
      <c r="AM105" s="4">
        <v>1</v>
      </c>
      <c r="AN105" s="4"/>
      <c r="AO105" s="4"/>
      <c r="AP105" s="4"/>
      <c r="AQ105" s="4"/>
      <c r="AR105" s="4"/>
      <c r="AS105" s="4"/>
      <c r="AT105" s="4">
        <v>3</v>
      </c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>
        <v>1</v>
      </c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>
        <v>1</v>
      </c>
      <c r="BZ105" s="4"/>
      <c r="CA105" s="4"/>
      <c r="CB105" s="4"/>
      <c r="CC105" s="4"/>
      <c r="CD105" s="4">
        <v>1</v>
      </c>
      <c r="CE105" s="4">
        <v>1</v>
      </c>
      <c r="CF105" s="4">
        <v>1</v>
      </c>
      <c r="CG105" s="4"/>
      <c r="CH105" s="4"/>
      <c r="CI105" s="4"/>
      <c r="CJ105" s="4"/>
      <c r="CK105" s="4"/>
      <c r="CL105" s="4"/>
      <c r="CM105" s="4"/>
      <c r="CN105" s="4">
        <v>1</v>
      </c>
      <c r="CO105" s="4"/>
      <c r="CP105" s="4"/>
      <c r="CQ105" s="4"/>
      <c r="CR105" s="4">
        <v>1</v>
      </c>
      <c r="CS105" s="4">
        <v>1</v>
      </c>
      <c r="CT105" s="4"/>
      <c r="CU105" s="4"/>
      <c r="CV105" s="4"/>
      <c r="CW105" s="4"/>
      <c r="CX105" s="4"/>
      <c r="CY105" s="4">
        <f t="shared" si="1"/>
        <v>38</v>
      </c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O105" s="47"/>
      <c r="ES105" s="47"/>
    </row>
    <row r="106" spans="1:149" ht="12.75">
      <c r="A106" s="2" t="s">
        <v>75</v>
      </c>
      <c r="B106" s="127" t="s">
        <v>18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>
        <v>1</v>
      </c>
      <c r="N106" s="4"/>
      <c r="O106" s="4"/>
      <c r="P106" s="4"/>
      <c r="Q106" s="4"/>
      <c r="R106" s="4"/>
      <c r="S106" s="4"/>
      <c r="T106" s="4"/>
      <c r="U106" s="4"/>
      <c r="V106" s="4"/>
      <c r="W106" s="4">
        <v>1</v>
      </c>
      <c r="X106" s="4"/>
      <c r="Y106" s="4">
        <v>1</v>
      </c>
      <c r="Z106" s="4">
        <v>5</v>
      </c>
      <c r="AA106" s="4"/>
      <c r="AB106" s="4"/>
      <c r="AC106" s="4"/>
      <c r="AD106" s="4"/>
      <c r="AE106" s="4"/>
      <c r="AF106" s="4">
        <v>1</v>
      </c>
      <c r="AG106" s="4"/>
      <c r="AH106" s="4"/>
      <c r="AI106" s="4"/>
      <c r="AJ106" s="4">
        <v>1</v>
      </c>
      <c r="AK106" s="4"/>
      <c r="AL106" s="4"/>
      <c r="AM106" s="4"/>
      <c r="AN106" s="4"/>
      <c r="AO106" s="4"/>
      <c r="AP106" s="4"/>
      <c r="AQ106" s="4">
        <v>1</v>
      </c>
      <c r="AR106" s="4"/>
      <c r="AS106" s="4"/>
      <c r="AT106" s="4"/>
      <c r="AU106" s="4"/>
      <c r="AV106" s="4"/>
      <c r="AW106" s="4">
        <v>1</v>
      </c>
      <c r="AX106" s="4"/>
      <c r="AY106" s="4"/>
      <c r="AZ106" s="4">
        <v>1</v>
      </c>
      <c r="BA106" s="4"/>
      <c r="BB106" s="4"/>
      <c r="BC106" s="4"/>
      <c r="BD106" s="4">
        <v>1</v>
      </c>
      <c r="BE106" s="4"/>
      <c r="BF106" s="4">
        <v>1</v>
      </c>
      <c r="BG106" s="4">
        <v>1</v>
      </c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>
        <v>1</v>
      </c>
      <c r="CM106" s="4">
        <v>1</v>
      </c>
      <c r="CN106" s="4"/>
      <c r="CO106" s="4"/>
      <c r="CP106" s="4"/>
      <c r="CQ106" s="4"/>
      <c r="CR106" s="4">
        <v>1</v>
      </c>
      <c r="CS106" s="4"/>
      <c r="CT106" s="4"/>
      <c r="CU106" s="4"/>
      <c r="CV106" s="4"/>
      <c r="CW106" s="4"/>
      <c r="CX106" s="4"/>
      <c r="CY106" s="4">
        <f t="shared" si="1"/>
        <v>19</v>
      </c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9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O106" s="47"/>
      <c r="ES106" s="47"/>
    </row>
    <row r="107" spans="1:149" ht="12.75">
      <c r="A107" s="2" t="s">
        <v>76</v>
      </c>
      <c r="B107" s="127" t="s">
        <v>18</v>
      </c>
      <c r="C107" s="4"/>
      <c r="D107" s="4"/>
      <c r="E107" s="4">
        <v>2</v>
      </c>
      <c r="F107" s="4"/>
      <c r="G107" s="4"/>
      <c r="H107" s="4"/>
      <c r="I107" s="4"/>
      <c r="J107" s="4"/>
      <c r="K107" s="4">
        <v>1</v>
      </c>
      <c r="L107" s="4">
        <v>1</v>
      </c>
      <c r="M107" s="4">
        <v>2</v>
      </c>
      <c r="N107" s="4"/>
      <c r="O107" s="4"/>
      <c r="P107" s="4"/>
      <c r="Q107" s="4"/>
      <c r="R107" s="4"/>
      <c r="S107" s="4"/>
      <c r="T107" s="4"/>
      <c r="U107" s="4"/>
      <c r="V107" s="4"/>
      <c r="W107" s="4">
        <v>1</v>
      </c>
      <c r="X107" s="4">
        <v>1</v>
      </c>
      <c r="Y107" s="4">
        <v>1</v>
      </c>
      <c r="Z107" s="4">
        <v>5</v>
      </c>
      <c r="AA107" s="4"/>
      <c r="AB107" s="4"/>
      <c r="AC107" s="4"/>
      <c r="AD107" s="4"/>
      <c r="AE107" s="4"/>
      <c r="AF107" s="4">
        <v>1</v>
      </c>
      <c r="AG107" s="4">
        <v>1</v>
      </c>
      <c r="AH107" s="4"/>
      <c r="AI107" s="4"/>
      <c r="AJ107" s="4"/>
      <c r="AK107" s="4">
        <v>1</v>
      </c>
      <c r="AL107" s="4"/>
      <c r="AM107" s="4"/>
      <c r="AN107" s="4"/>
      <c r="AO107" s="4"/>
      <c r="AP107" s="4"/>
      <c r="AQ107" s="4">
        <v>1</v>
      </c>
      <c r="AR107" s="4"/>
      <c r="AS107" s="4"/>
      <c r="AT107" s="4"/>
      <c r="AU107" s="4"/>
      <c r="AV107" s="4"/>
      <c r="AW107" s="4">
        <v>1</v>
      </c>
      <c r="AX107" s="4"/>
      <c r="AY107" s="4"/>
      <c r="AZ107" s="4">
        <v>1</v>
      </c>
      <c r="BA107" s="4"/>
      <c r="BB107" s="4"/>
      <c r="BC107" s="4"/>
      <c r="BD107" s="4">
        <v>1</v>
      </c>
      <c r="BE107" s="4"/>
      <c r="BF107" s="4">
        <v>1</v>
      </c>
      <c r="BG107" s="4">
        <v>1</v>
      </c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>
        <v>2</v>
      </c>
      <c r="BU107" s="4"/>
      <c r="BV107" s="4"/>
      <c r="BW107" s="4"/>
      <c r="BX107" s="4">
        <v>1</v>
      </c>
      <c r="BY107" s="4"/>
      <c r="BZ107" s="4"/>
      <c r="CA107" s="4"/>
      <c r="CB107" s="4"/>
      <c r="CC107" s="4"/>
      <c r="CD107" s="4">
        <v>1</v>
      </c>
      <c r="CE107" s="4"/>
      <c r="CF107" s="4"/>
      <c r="CG107" s="4"/>
      <c r="CH107" s="4"/>
      <c r="CI107" s="4"/>
      <c r="CJ107" s="4"/>
      <c r="CK107" s="4"/>
      <c r="CL107" s="4">
        <v>1</v>
      </c>
      <c r="CM107" s="4">
        <v>1</v>
      </c>
      <c r="CN107" s="4"/>
      <c r="CO107" s="4"/>
      <c r="CP107" s="4"/>
      <c r="CQ107" s="4"/>
      <c r="CR107" s="4">
        <v>1</v>
      </c>
      <c r="CS107" s="4"/>
      <c r="CT107" s="4"/>
      <c r="CU107" s="4"/>
      <c r="CV107" s="4"/>
      <c r="CW107" s="4"/>
      <c r="CX107" s="4"/>
      <c r="CY107" s="4">
        <f t="shared" si="1"/>
        <v>30</v>
      </c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O107" s="47"/>
      <c r="ES107" s="47"/>
    </row>
    <row r="108" spans="1:149" ht="12.75">
      <c r="A108" s="2" t="s">
        <v>161</v>
      </c>
      <c r="B108" s="127" t="s">
        <v>18</v>
      </c>
      <c r="C108" s="40"/>
      <c r="D108" s="40"/>
      <c r="E108" s="40">
        <v>2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"/>
      <c r="CY108" s="4">
        <f t="shared" si="1"/>
        <v>2</v>
      </c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O108" s="47"/>
      <c r="ES108" s="47"/>
    </row>
    <row r="109" spans="1:149" ht="12.75">
      <c r="A109" s="2" t="s">
        <v>168</v>
      </c>
      <c r="B109" s="127" t="s">
        <v>18</v>
      </c>
      <c r="C109" s="40"/>
      <c r="D109" s="40"/>
      <c r="E109" s="40">
        <v>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>
        <v>1</v>
      </c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>
        <v>1</v>
      </c>
      <c r="CS109" s="40"/>
      <c r="CT109" s="40"/>
      <c r="CU109" s="40"/>
      <c r="CV109" s="40"/>
      <c r="CW109" s="40"/>
      <c r="CX109" s="4"/>
      <c r="CY109" s="4">
        <f t="shared" si="1"/>
        <v>4</v>
      </c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O109" s="47"/>
      <c r="ES109" s="47"/>
    </row>
    <row r="110" spans="1:149" ht="12.75">
      <c r="A110" s="2" t="s">
        <v>160</v>
      </c>
      <c r="B110" s="127" t="s">
        <v>18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"/>
      <c r="CY110" s="4">
        <f t="shared" si="1"/>
        <v>0</v>
      </c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O110" s="47"/>
      <c r="ES110" s="47"/>
    </row>
    <row r="111" spans="1:143" ht="12.75">
      <c r="A111" s="2" t="s">
        <v>174</v>
      </c>
      <c r="B111" s="127" t="s">
        <v>18</v>
      </c>
      <c r="C111" s="4"/>
      <c r="D111" s="4"/>
      <c r="E111" s="4">
        <v>2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>
        <v>1</v>
      </c>
      <c r="CS111" s="4"/>
      <c r="CT111" s="4"/>
      <c r="CU111" s="4"/>
      <c r="CV111" s="4"/>
      <c r="CW111" s="4"/>
      <c r="CX111" s="4"/>
      <c r="CY111" s="4">
        <f t="shared" si="1"/>
        <v>3</v>
      </c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03" ht="12.75">
      <c r="A112" s="112" t="s">
        <v>271</v>
      </c>
      <c r="B112" s="109" t="s">
        <v>18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4">
        <f t="shared" si="1"/>
        <v>0</v>
      </c>
    </row>
    <row r="113" spans="1:143" ht="12.75">
      <c r="A113" s="149" t="s">
        <v>928</v>
      </c>
      <c r="B113" s="109" t="s">
        <v>18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>
        <v>2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>
        <v>1</v>
      </c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>
        <v>1</v>
      </c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>
        <f t="shared" si="1"/>
        <v>4</v>
      </c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9" ht="12.75">
      <c r="A114" s="110" t="s">
        <v>267</v>
      </c>
      <c r="B114" s="109" t="s">
        <v>18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>
        <f t="shared" si="1"/>
        <v>0</v>
      </c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O114" s="47"/>
      <c r="ES114" s="47"/>
    </row>
    <row r="115" spans="1:149" ht="12.75">
      <c r="A115" s="2" t="s">
        <v>77</v>
      </c>
      <c r="B115" s="127" t="s">
        <v>18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>
        <v>1</v>
      </c>
      <c r="AD115" s="4"/>
      <c r="AE115" s="4"/>
      <c r="AF115" s="4">
        <v>1</v>
      </c>
      <c r="AG115" s="4">
        <v>1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>
        <v>1</v>
      </c>
      <c r="AR115" s="4"/>
      <c r="AS115" s="4"/>
      <c r="AT115" s="4"/>
      <c r="AU115" s="4"/>
      <c r="AV115" s="4"/>
      <c r="AW115" s="4">
        <v>1</v>
      </c>
      <c r="AX115" s="4">
        <v>1</v>
      </c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>
        <v>1</v>
      </c>
      <c r="BY115" s="4"/>
      <c r="BZ115" s="4">
        <v>1</v>
      </c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>
        <f t="shared" si="1"/>
        <v>8</v>
      </c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O115" s="47"/>
      <c r="ES115" s="47"/>
    </row>
    <row r="116" spans="1:149" ht="12.75">
      <c r="A116" s="149" t="s">
        <v>833</v>
      </c>
      <c r="B116" s="123" t="s">
        <v>21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>
        <v>1</v>
      </c>
      <c r="BW116" s="4"/>
      <c r="BX116" s="4"/>
      <c r="BY116" s="4"/>
      <c r="BZ116" s="4"/>
      <c r="CA116" s="4"/>
      <c r="CB116" s="4">
        <v>1</v>
      </c>
      <c r="CC116" s="4"/>
      <c r="CD116" s="4">
        <v>1</v>
      </c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>
        <f t="shared" si="1"/>
        <v>3</v>
      </c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O116" s="47"/>
      <c r="ES116" s="47"/>
    </row>
    <row r="117" spans="1:149" ht="12.75">
      <c r="A117" s="114" t="s">
        <v>262</v>
      </c>
      <c r="B117" s="115" t="s">
        <v>18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>
        <f t="shared" si="1"/>
        <v>0</v>
      </c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O117" s="47"/>
      <c r="ES117" s="47"/>
    </row>
    <row r="118" spans="1:149" ht="12.75">
      <c r="A118" s="114" t="s">
        <v>249</v>
      </c>
      <c r="B118" s="115" t="s">
        <v>18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>
        <f t="shared" si="1"/>
        <v>0</v>
      </c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O118" s="47"/>
      <c r="ES118" s="47"/>
    </row>
    <row r="119" spans="1:103" ht="12.75">
      <c r="A119" s="149" t="s">
        <v>592</v>
      </c>
      <c r="B119" s="123" t="s">
        <v>18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>
        <v>1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4">
        <f t="shared" si="1"/>
        <v>1</v>
      </c>
    </row>
    <row r="120" spans="1:149" ht="12.75">
      <c r="A120" s="149" t="s">
        <v>668</v>
      </c>
      <c r="B120" s="123" t="s">
        <v>18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>
        <v>1</v>
      </c>
      <c r="BC120" s="4"/>
      <c r="BD120" s="4"/>
      <c r="BE120" s="4">
        <v>1</v>
      </c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>
        <v>2</v>
      </c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>
        <f t="shared" si="1"/>
        <v>4</v>
      </c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O120" s="47"/>
      <c r="ES120" s="47"/>
    </row>
    <row r="121" spans="1:149" ht="12.75">
      <c r="A121" s="149" t="s">
        <v>478</v>
      </c>
      <c r="B121" s="115" t="s">
        <v>18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>
        <v>1</v>
      </c>
      <c r="Z121" s="4">
        <v>1</v>
      </c>
      <c r="AA121" s="4"/>
      <c r="AB121" s="4"/>
      <c r="AC121" s="4"/>
      <c r="AD121" s="4"/>
      <c r="AE121" s="4"/>
      <c r="AF121" s="4"/>
      <c r="AG121" s="4"/>
      <c r="AH121" s="4">
        <v>1</v>
      </c>
      <c r="AI121" s="4">
        <v>1</v>
      </c>
      <c r="AJ121" s="4"/>
      <c r="AK121" s="4"/>
      <c r="AL121" s="4"/>
      <c r="AM121" s="4">
        <v>2</v>
      </c>
      <c r="AN121" s="4"/>
      <c r="AO121" s="4"/>
      <c r="AP121" s="4"/>
      <c r="AQ121" s="4">
        <v>1</v>
      </c>
      <c r="AR121" s="4"/>
      <c r="AS121" s="4"/>
      <c r="AT121" s="4"/>
      <c r="AU121" s="4">
        <v>1</v>
      </c>
      <c r="AV121" s="4"/>
      <c r="AW121" s="4">
        <v>1</v>
      </c>
      <c r="AX121" s="4">
        <v>1</v>
      </c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>
        <v>1</v>
      </c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>
        <v>1</v>
      </c>
      <c r="BZ121" s="4"/>
      <c r="CA121" s="4"/>
      <c r="CB121" s="4"/>
      <c r="CC121" s="4"/>
      <c r="CD121" s="4">
        <v>1</v>
      </c>
      <c r="CE121" s="4">
        <v>1</v>
      </c>
      <c r="CF121" s="4">
        <v>1</v>
      </c>
      <c r="CG121" s="4"/>
      <c r="CH121" s="4"/>
      <c r="CI121" s="4">
        <v>1</v>
      </c>
      <c r="CJ121" s="4"/>
      <c r="CK121" s="4"/>
      <c r="CL121" s="4"/>
      <c r="CM121" s="4"/>
      <c r="CN121" s="4">
        <v>1</v>
      </c>
      <c r="CO121" s="4"/>
      <c r="CP121" s="4"/>
      <c r="CQ121" s="4"/>
      <c r="CR121" s="4">
        <v>1</v>
      </c>
      <c r="CS121" s="4"/>
      <c r="CT121" s="4"/>
      <c r="CU121" s="4"/>
      <c r="CV121" s="4"/>
      <c r="CW121" s="4"/>
      <c r="CX121" s="4"/>
      <c r="CY121" s="4">
        <f t="shared" si="1"/>
        <v>18</v>
      </c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O121" s="47"/>
      <c r="ES121" s="47"/>
    </row>
    <row r="122" spans="1:103" ht="12.75">
      <c r="A122" s="149" t="s">
        <v>563</v>
      </c>
      <c r="B122" s="123" t="s">
        <v>21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>
        <v>1</v>
      </c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4">
        <f t="shared" si="1"/>
        <v>1</v>
      </c>
    </row>
    <row r="123" spans="1:103" ht="12.75">
      <c r="A123" s="149" t="s">
        <v>564</v>
      </c>
      <c r="B123" s="123" t="s">
        <v>21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>
        <v>1</v>
      </c>
      <c r="AX123" s="1"/>
      <c r="AY123" s="1"/>
      <c r="AZ123" s="1"/>
      <c r="BA123" s="1"/>
      <c r="BB123" s="1"/>
      <c r="BC123" s="1"/>
      <c r="BD123" s="1"/>
      <c r="BE123" s="1"/>
      <c r="BF123" s="1"/>
      <c r="BG123" s="1">
        <v>1</v>
      </c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4">
        <f t="shared" si="1"/>
        <v>2</v>
      </c>
    </row>
    <row r="124" spans="1:103" ht="12.75">
      <c r="A124" s="149" t="s">
        <v>565</v>
      </c>
      <c r="B124" s="123" t="s">
        <v>21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>
        <v>1</v>
      </c>
      <c r="AX124" s="1"/>
      <c r="AY124" s="1"/>
      <c r="AZ124" s="1"/>
      <c r="BA124" s="1"/>
      <c r="BB124" s="1"/>
      <c r="BC124" s="1"/>
      <c r="BD124" s="1"/>
      <c r="BE124" s="1"/>
      <c r="BF124" s="1"/>
      <c r="BG124" s="1">
        <v>1</v>
      </c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4">
        <f t="shared" si="1"/>
        <v>2</v>
      </c>
    </row>
    <row r="125" spans="1:103" ht="12.75">
      <c r="A125" s="149" t="s">
        <v>566</v>
      </c>
      <c r="B125" s="123" t="s">
        <v>21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>
        <v>1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>
        <v>1</v>
      </c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4">
        <f t="shared" si="1"/>
        <v>2</v>
      </c>
    </row>
    <row r="126" spans="1:149" ht="12.75">
      <c r="A126" s="114" t="s">
        <v>264</v>
      </c>
      <c r="B126" s="115" t="s">
        <v>19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>
        <v>1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>
        <f t="shared" si="1"/>
        <v>1</v>
      </c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O126" s="47"/>
      <c r="ES126" s="47"/>
    </row>
    <row r="127" spans="1:149" ht="12.75">
      <c r="A127" s="114" t="s">
        <v>218</v>
      </c>
      <c r="B127" s="115" t="s">
        <v>19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>
        <v>1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>
        <f t="shared" si="1"/>
        <v>1</v>
      </c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O127" s="47"/>
      <c r="ES127" s="47"/>
    </row>
    <row r="128" spans="1:103" ht="12.75">
      <c r="A128" s="2" t="s">
        <v>230</v>
      </c>
      <c r="B128" s="127" t="s">
        <v>19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>
        <v>1</v>
      </c>
      <c r="AR128" s="4"/>
      <c r="AS128" s="4"/>
      <c r="AT128" s="4"/>
      <c r="AU128" s="4"/>
      <c r="AV128" s="4"/>
      <c r="AW128" s="4">
        <v>1</v>
      </c>
      <c r="AX128" s="4"/>
      <c r="AY128" s="4">
        <v>1</v>
      </c>
      <c r="AZ128" s="4"/>
      <c r="BA128" s="4"/>
      <c r="BB128" s="4"/>
      <c r="BC128" s="4"/>
      <c r="BD128" s="4"/>
      <c r="BE128" s="4"/>
      <c r="BF128" s="4"/>
      <c r="BG128" s="4">
        <v>1</v>
      </c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>
        <v>1</v>
      </c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1"/>
      <c r="CY128" s="4">
        <f t="shared" si="1"/>
        <v>5</v>
      </c>
    </row>
    <row r="129" spans="1:103" ht="12.75">
      <c r="A129" s="2" t="s">
        <v>195</v>
      </c>
      <c r="B129" s="127" t="s">
        <v>19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1"/>
      <c r="CY129" s="4">
        <f t="shared" si="1"/>
        <v>0</v>
      </c>
    </row>
    <row r="130" spans="1:103" ht="12.75">
      <c r="A130" s="2" t="s">
        <v>96</v>
      </c>
      <c r="B130" s="127" t="s">
        <v>19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>
        <v>1</v>
      </c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1"/>
      <c r="CY130" s="4">
        <f t="shared" si="1"/>
        <v>1</v>
      </c>
    </row>
    <row r="131" spans="1:103" ht="12.75">
      <c r="A131" s="2" t="s">
        <v>175</v>
      </c>
      <c r="B131" s="127" t="s">
        <v>18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>
        <v>1</v>
      </c>
      <c r="Y131" s="1">
        <v>1</v>
      </c>
      <c r="Z131" s="1"/>
      <c r="AA131" s="1"/>
      <c r="AB131" s="1"/>
      <c r="AC131" s="1"/>
      <c r="AD131" s="1"/>
      <c r="AE131" s="1"/>
      <c r="AF131" s="1">
        <v>1</v>
      </c>
      <c r="AG131" s="1">
        <v>1</v>
      </c>
      <c r="AH131" s="1"/>
      <c r="AI131" s="1"/>
      <c r="AJ131" s="1"/>
      <c r="AK131" s="1">
        <v>1</v>
      </c>
      <c r="AL131" s="1"/>
      <c r="AM131" s="1"/>
      <c r="AN131" s="1"/>
      <c r="AO131" s="1">
        <v>1</v>
      </c>
      <c r="AP131" s="1"/>
      <c r="AQ131" s="1">
        <v>1</v>
      </c>
      <c r="AR131" s="1"/>
      <c r="AS131" s="1"/>
      <c r="AT131" s="1"/>
      <c r="AU131" s="1">
        <v>1</v>
      </c>
      <c r="AV131" s="1"/>
      <c r="AW131" s="1"/>
      <c r="AX131" s="1">
        <v>1</v>
      </c>
      <c r="AY131" s="1"/>
      <c r="AZ131" s="1">
        <v>1</v>
      </c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>
        <v>1</v>
      </c>
      <c r="BY131" s="1"/>
      <c r="BZ131" s="1"/>
      <c r="CA131" s="1"/>
      <c r="CB131" s="1">
        <v>1</v>
      </c>
      <c r="CC131" s="1"/>
      <c r="CD131" s="1">
        <v>1</v>
      </c>
      <c r="CE131" s="1"/>
      <c r="CF131" s="1"/>
      <c r="CG131" s="1"/>
      <c r="CH131" s="1"/>
      <c r="CI131" s="1"/>
      <c r="CJ131" s="1"/>
      <c r="CK131" s="1"/>
      <c r="CL131" s="1"/>
      <c r="CM131" s="1">
        <v>1</v>
      </c>
      <c r="CN131" s="1"/>
      <c r="CO131" s="1"/>
      <c r="CP131" s="1"/>
      <c r="CQ131" s="1"/>
      <c r="CR131" s="1">
        <v>1</v>
      </c>
      <c r="CS131" s="1"/>
      <c r="CT131" s="1"/>
      <c r="CU131" s="1"/>
      <c r="CV131" s="1"/>
      <c r="CW131" s="1"/>
      <c r="CX131" s="1"/>
      <c r="CY131" s="4">
        <f t="shared" si="1"/>
        <v>15</v>
      </c>
    </row>
    <row r="132" spans="1:149" ht="12.75">
      <c r="A132" s="114" t="s">
        <v>209</v>
      </c>
      <c r="B132" s="127" t="s">
        <v>18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>
        <v>1</v>
      </c>
      <c r="Y132" s="4">
        <v>1</v>
      </c>
      <c r="Z132" s="4"/>
      <c r="AA132" s="4"/>
      <c r="AB132" s="4"/>
      <c r="AC132" s="4"/>
      <c r="AD132" s="4"/>
      <c r="AE132" s="4"/>
      <c r="AF132" s="4">
        <v>1</v>
      </c>
      <c r="AG132" s="4">
        <v>1</v>
      </c>
      <c r="AH132" s="4"/>
      <c r="AI132" s="4"/>
      <c r="AJ132" s="4"/>
      <c r="AK132" s="4">
        <v>1</v>
      </c>
      <c r="AL132" s="4"/>
      <c r="AM132" s="4"/>
      <c r="AN132" s="4"/>
      <c r="AO132" s="4">
        <v>1</v>
      </c>
      <c r="AP132" s="4"/>
      <c r="AQ132" s="4">
        <v>1</v>
      </c>
      <c r="AR132" s="4"/>
      <c r="AS132" s="4"/>
      <c r="AT132" s="4"/>
      <c r="AU132" s="4">
        <v>1</v>
      </c>
      <c r="AV132" s="4"/>
      <c r="AW132" s="4"/>
      <c r="AX132" s="4">
        <v>1</v>
      </c>
      <c r="AY132" s="4"/>
      <c r="AZ132" s="4">
        <v>1</v>
      </c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>
        <v>1</v>
      </c>
      <c r="BY132" s="4"/>
      <c r="BZ132" s="4"/>
      <c r="CA132" s="4"/>
      <c r="CB132" s="4"/>
      <c r="CC132" s="4"/>
      <c r="CD132" s="4"/>
      <c r="CE132" s="4">
        <v>1</v>
      </c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>
        <f t="shared" si="1"/>
        <v>12</v>
      </c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O132" s="47"/>
      <c r="ES132" s="47"/>
    </row>
    <row r="133" spans="1:140" ht="12.75">
      <c r="A133" s="112" t="s">
        <v>287</v>
      </c>
      <c r="B133" s="109" t="s">
        <v>19</v>
      </c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4"/>
      <c r="CY133" s="4">
        <f t="shared" si="1"/>
        <v>0</v>
      </c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V133" s="1"/>
      <c r="EA133" s="1"/>
      <c r="EB133" s="1"/>
      <c r="EC133" s="1"/>
      <c r="ED133" s="1"/>
      <c r="EG133" s="1"/>
      <c r="EI133" s="1"/>
      <c r="EJ133" s="1"/>
    </row>
    <row r="134" spans="1:149" ht="12.75">
      <c r="A134" s="2" t="s">
        <v>167</v>
      </c>
      <c r="B134" s="127" t="s">
        <v>18</v>
      </c>
      <c r="C134" s="4"/>
      <c r="D134" s="4"/>
      <c r="E134" s="4"/>
      <c r="F134" s="4">
        <v>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>
        <v>1</v>
      </c>
      <c r="T134" s="4"/>
      <c r="U134" s="4"/>
      <c r="V134" s="4"/>
      <c r="W134" s="4">
        <v>1</v>
      </c>
      <c r="X134" s="4">
        <v>1</v>
      </c>
      <c r="Y134" s="4">
        <v>1</v>
      </c>
      <c r="Z134" s="4">
        <v>5</v>
      </c>
      <c r="AA134" s="4"/>
      <c r="AB134" s="4"/>
      <c r="AC134" s="4"/>
      <c r="AD134" s="4"/>
      <c r="AE134" s="4"/>
      <c r="AF134" s="4">
        <v>1</v>
      </c>
      <c r="AG134" s="4">
        <v>1</v>
      </c>
      <c r="AH134" s="4"/>
      <c r="AI134" s="4"/>
      <c r="AJ134" s="4"/>
      <c r="AK134" s="4">
        <v>1</v>
      </c>
      <c r="AL134" s="4"/>
      <c r="AM134" s="4"/>
      <c r="AN134" s="4"/>
      <c r="AO134" s="4">
        <v>1</v>
      </c>
      <c r="AP134" s="4"/>
      <c r="AQ134" s="4">
        <v>1</v>
      </c>
      <c r="AR134" s="4"/>
      <c r="AS134" s="4"/>
      <c r="AT134" s="4"/>
      <c r="AU134" s="4">
        <v>1</v>
      </c>
      <c r="AV134" s="4"/>
      <c r="AW134" s="4"/>
      <c r="AX134" s="4">
        <v>1</v>
      </c>
      <c r="AY134" s="4"/>
      <c r="AZ134" s="4">
        <v>1</v>
      </c>
      <c r="BA134" s="4"/>
      <c r="BB134" s="4"/>
      <c r="BC134" s="4"/>
      <c r="BD134" s="4">
        <v>1</v>
      </c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>
        <v>2</v>
      </c>
      <c r="BU134" s="4"/>
      <c r="BV134" s="4"/>
      <c r="BW134" s="4"/>
      <c r="BX134" s="4">
        <v>1</v>
      </c>
      <c r="BY134" s="4"/>
      <c r="BZ134" s="4"/>
      <c r="CA134" s="4"/>
      <c r="CB134" s="4">
        <v>1</v>
      </c>
      <c r="CC134" s="4"/>
      <c r="CD134" s="4">
        <v>1</v>
      </c>
      <c r="CE134" s="4">
        <v>1</v>
      </c>
      <c r="CF134" s="4"/>
      <c r="CG134" s="4">
        <v>1</v>
      </c>
      <c r="CH134" s="4"/>
      <c r="CI134" s="4"/>
      <c r="CJ134" s="4"/>
      <c r="CK134" s="4">
        <v>1</v>
      </c>
      <c r="CL134" s="4">
        <v>1</v>
      </c>
      <c r="CM134" s="4">
        <v>1</v>
      </c>
      <c r="CN134" s="4"/>
      <c r="CO134" s="4"/>
      <c r="CP134" s="4"/>
      <c r="CQ134" s="4"/>
      <c r="CR134" s="4">
        <v>1</v>
      </c>
      <c r="CS134" s="4"/>
      <c r="CT134" s="4"/>
      <c r="CU134" s="4"/>
      <c r="CV134" s="4"/>
      <c r="CW134" s="4"/>
      <c r="CX134" s="4"/>
      <c r="CY134" s="4">
        <f t="shared" si="1"/>
        <v>30</v>
      </c>
      <c r="CZ134" s="4"/>
      <c r="DA134" s="4"/>
      <c r="DB134" s="4"/>
      <c r="DC134" s="4"/>
      <c r="DD134" s="4"/>
      <c r="DE134" s="4"/>
      <c r="DF134" s="4"/>
      <c r="DG134" s="4"/>
      <c r="DH134" s="49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O134" s="47"/>
      <c r="ES134" s="47"/>
    </row>
    <row r="135" spans="1:103" ht="12.75">
      <c r="A135" s="2" t="s">
        <v>97</v>
      </c>
      <c r="B135" s="127" t="s">
        <v>19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>
        <v>1</v>
      </c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1"/>
      <c r="CY135" s="4">
        <f t="shared" si="1"/>
        <v>1</v>
      </c>
    </row>
    <row r="136" spans="1:143" ht="12.75">
      <c r="A136" s="2" t="s">
        <v>78</v>
      </c>
      <c r="B136" s="127" t="s">
        <v>18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>
        <v>1</v>
      </c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>
        <v>1</v>
      </c>
      <c r="BA136" s="4"/>
      <c r="BB136" s="4"/>
      <c r="BC136" s="4"/>
      <c r="BD136" s="4"/>
      <c r="BE136" s="4"/>
      <c r="BF136" s="4"/>
      <c r="BG136" s="4">
        <v>1</v>
      </c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>
        <v>1</v>
      </c>
      <c r="CA136" s="4"/>
      <c r="CB136" s="4"/>
      <c r="CC136" s="4"/>
      <c r="CD136" s="4"/>
      <c r="CE136" s="4">
        <v>1</v>
      </c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>
        <v>1</v>
      </c>
      <c r="CS136" s="4"/>
      <c r="CT136" s="4"/>
      <c r="CU136" s="4"/>
      <c r="CV136" s="4"/>
      <c r="CW136" s="4"/>
      <c r="CX136" s="4"/>
      <c r="CY136" s="4">
        <f t="shared" si="1"/>
        <v>6</v>
      </c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9" ht="12.75">
      <c r="A137" s="114" t="s">
        <v>228</v>
      </c>
      <c r="B137" s="115" t="s">
        <v>17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>
        <f t="shared" si="1"/>
        <v>0</v>
      </c>
      <c r="CZ137" s="4"/>
      <c r="DA137" s="4"/>
      <c r="DB137" s="4"/>
      <c r="DC137" s="4"/>
      <c r="DD137" s="4"/>
      <c r="DE137" s="4"/>
      <c r="DF137" s="4"/>
      <c r="DG137" s="4"/>
      <c r="DH137" s="49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O137" s="47"/>
      <c r="ES137" s="47"/>
    </row>
    <row r="138" spans="1:103" ht="12.75">
      <c r="A138" s="2" t="s">
        <v>180</v>
      </c>
      <c r="B138" s="127" t="s">
        <v>18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4">
        <f t="shared" si="1"/>
        <v>0</v>
      </c>
    </row>
    <row r="139" spans="1:103" ht="12.75">
      <c r="A139" s="149" t="s">
        <v>885</v>
      </c>
      <c r="B139" s="123" t="s">
        <v>19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>
        <v>1</v>
      </c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1"/>
      <c r="CY139" s="4">
        <f aca="true" t="shared" si="2" ref="CY139:CY170">SUM(C139:CX139)</f>
        <v>1</v>
      </c>
    </row>
    <row r="140" spans="1:103" ht="12.75">
      <c r="A140" s="2" t="s">
        <v>163</v>
      </c>
      <c r="B140" s="127" t="s">
        <v>152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>
        <v>1</v>
      </c>
      <c r="Y140" s="1"/>
      <c r="Z140" s="1"/>
      <c r="AA140" s="1"/>
      <c r="AB140" s="1"/>
      <c r="AC140" s="1">
        <v>1</v>
      </c>
      <c r="AD140" s="1"/>
      <c r="AE140" s="1"/>
      <c r="AF140" s="1">
        <v>1</v>
      </c>
      <c r="AG140" s="1">
        <v>1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>
        <v>1</v>
      </c>
      <c r="AR140" s="1"/>
      <c r="AS140" s="1"/>
      <c r="AT140" s="1"/>
      <c r="AU140" s="1">
        <v>1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>
        <v>1</v>
      </c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>
        <v>1</v>
      </c>
      <c r="BY140" s="1"/>
      <c r="BZ140" s="1">
        <v>1</v>
      </c>
      <c r="CA140" s="1">
        <v>1</v>
      </c>
      <c r="CB140" s="1"/>
      <c r="CC140" s="1"/>
      <c r="CD140" s="1">
        <v>1</v>
      </c>
      <c r="CE140" s="1">
        <v>1</v>
      </c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>
        <v>1</v>
      </c>
      <c r="CV140" s="1"/>
      <c r="CW140" s="1"/>
      <c r="CX140" s="1"/>
      <c r="CY140" s="4">
        <f t="shared" si="2"/>
        <v>13</v>
      </c>
    </row>
    <row r="141" spans="1:103" ht="12.75">
      <c r="A141" s="114" t="s">
        <v>280</v>
      </c>
      <c r="B141" s="115" t="s">
        <v>18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4">
        <f t="shared" si="2"/>
        <v>0</v>
      </c>
    </row>
    <row r="142" spans="1:103" ht="12.75">
      <c r="A142" s="126" t="s">
        <v>738</v>
      </c>
      <c r="B142" s="127" t="s">
        <v>21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>
        <v>1</v>
      </c>
      <c r="BQ142" s="1">
        <v>3</v>
      </c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4">
        <f t="shared" si="2"/>
        <v>4</v>
      </c>
    </row>
    <row r="143" spans="1:103" ht="12.75">
      <c r="A143" s="149" t="s">
        <v>626</v>
      </c>
      <c r="B143" s="123" t="s">
        <v>21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>
        <v>1</v>
      </c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4">
        <f t="shared" si="2"/>
        <v>1</v>
      </c>
    </row>
    <row r="144" spans="1:103" ht="12.75">
      <c r="A144" s="149" t="s">
        <v>549</v>
      </c>
      <c r="B144" s="127" t="s">
        <v>20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>
        <v>1</v>
      </c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>
        <v>1</v>
      </c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4">
        <f t="shared" si="2"/>
        <v>2</v>
      </c>
    </row>
    <row r="145" spans="1:103" ht="12.75">
      <c r="A145" s="149" t="s">
        <v>726</v>
      </c>
      <c r="B145" s="123" t="s">
        <v>20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>
        <v>1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4">
        <f t="shared" si="2"/>
        <v>1</v>
      </c>
    </row>
    <row r="146" spans="1:103" ht="12.75">
      <c r="A146" s="114" t="s">
        <v>272</v>
      </c>
      <c r="B146" s="127" t="s">
        <v>20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>
        <v>1</v>
      </c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>
        <v>1</v>
      </c>
      <c r="BM146" s="1"/>
      <c r="BN146" s="1"/>
      <c r="BO146" s="1"/>
      <c r="BP146" s="1"/>
      <c r="BQ146" s="1"/>
      <c r="BR146" s="1">
        <v>1</v>
      </c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>
        <v>1</v>
      </c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4">
        <f t="shared" si="2"/>
        <v>4</v>
      </c>
    </row>
    <row r="147" spans="1:103" ht="12.75">
      <c r="A147" s="126" t="s">
        <v>930</v>
      </c>
      <c r="B147" s="123" t="s">
        <v>19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>
        <v>1</v>
      </c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4">
        <f t="shared" si="2"/>
        <v>1</v>
      </c>
    </row>
    <row r="148" spans="1:103" ht="12.75">
      <c r="A148" s="114" t="s">
        <v>221</v>
      </c>
      <c r="B148" s="115" t="s">
        <v>18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>
        <v>1</v>
      </c>
      <c r="W148" s="1">
        <v>1</v>
      </c>
      <c r="X148" s="1">
        <v>1</v>
      </c>
      <c r="Y148" s="1"/>
      <c r="Z148" s="1">
        <v>1</v>
      </c>
      <c r="AA148" s="1"/>
      <c r="AB148" s="1"/>
      <c r="AC148" s="1"/>
      <c r="AD148" s="1"/>
      <c r="AE148" s="1"/>
      <c r="AF148" s="1"/>
      <c r="AG148" s="1">
        <v>1</v>
      </c>
      <c r="AH148" s="1"/>
      <c r="AI148" s="1"/>
      <c r="AJ148" s="1"/>
      <c r="AK148" s="1"/>
      <c r="AL148" s="1"/>
      <c r="AM148" s="1"/>
      <c r="AN148" s="1">
        <v>1</v>
      </c>
      <c r="AO148" s="1"/>
      <c r="AP148" s="1">
        <v>1</v>
      </c>
      <c r="AQ148" s="1"/>
      <c r="AR148" s="1"/>
      <c r="AS148" s="1"/>
      <c r="AT148" s="1"/>
      <c r="AU148" s="1"/>
      <c r="AV148" s="1"/>
      <c r="AW148" s="1"/>
      <c r="AX148" s="1">
        <v>1</v>
      </c>
      <c r="AY148" s="1"/>
      <c r="AZ148" s="1"/>
      <c r="BA148" s="1"/>
      <c r="BB148" s="1"/>
      <c r="BC148" s="1"/>
      <c r="BD148" s="1"/>
      <c r="BE148" s="1"/>
      <c r="BF148" s="1">
        <v>1</v>
      </c>
      <c r="BG148" s="1">
        <v>1</v>
      </c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>
        <v>4</v>
      </c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>
        <v>1</v>
      </c>
      <c r="CE148" s="1"/>
      <c r="CF148" s="1"/>
      <c r="CG148" s="1"/>
      <c r="CH148" s="1"/>
      <c r="CI148" s="1"/>
      <c r="CJ148" s="1">
        <v>1</v>
      </c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4">
        <f t="shared" si="2"/>
        <v>16</v>
      </c>
    </row>
    <row r="149" spans="1:103" ht="12.75">
      <c r="A149" s="2" t="s">
        <v>166</v>
      </c>
      <c r="B149" s="127" t="s">
        <v>18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>
        <v>1</v>
      </c>
      <c r="W149" s="1">
        <v>1</v>
      </c>
      <c r="X149" s="1">
        <v>1</v>
      </c>
      <c r="Y149" s="1"/>
      <c r="Z149" s="1">
        <v>1</v>
      </c>
      <c r="AA149" s="1"/>
      <c r="AB149" s="1"/>
      <c r="AC149" s="1"/>
      <c r="AD149" s="1"/>
      <c r="AE149" s="1"/>
      <c r="AF149" s="1"/>
      <c r="AG149" s="1">
        <v>1</v>
      </c>
      <c r="AH149" s="1"/>
      <c r="AI149" s="1"/>
      <c r="AJ149" s="1"/>
      <c r="AK149" s="1"/>
      <c r="AL149" s="1"/>
      <c r="AM149" s="1"/>
      <c r="AN149" s="1">
        <v>1</v>
      </c>
      <c r="AO149" s="1"/>
      <c r="AP149" s="1">
        <v>1</v>
      </c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>
        <v>1</v>
      </c>
      <c r="BG149" s="1">
        <v>1</v>
      </c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>
        <v>4</v>
      </c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>
        <v>1</v>
      </c>
      <c r="CS149" s="1"/>
      <c r="CT149" s="1"/>
      <c r="CU149" s="1"/>
      <c r="CV149" s="1"/>
      <c r="CW149" s="1"/>
      <c r="CX149" s="1"/>
      <c r="CY149" s="4">
        <f t="shared" si="2"/>
        <v>14</v>
      </c>
    </row>
    <row r="150" spans="1:103" ht="12.75">
      <c r="A150" s="114" t="s">
        <v>222</v>
      </c>
      <c r="B150" s="115" t="s">
        <v>18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>
        <v>1</v>
      </c>
      <c r="W150" s="1">
        <v>1</v>
      </c>
      <c r="X150" s="1">
        <v>1</v>
      </c>
      <c r="Y150" s="1"/>
      <c r="Z150" s="1">
        <v>1</v>
      </c>
      <c r="AA150" s="1"/>
      <c r="AB150" s="1"/>
      <c r="AC150" s="1"/>
      <c r="AD150" s="1"/>
      <c r="AE150" s="1"/>
      <c r="AF150" s="1"/>
      <c r="AG150" s="1">
        <v>1</v>
      </c>
      <c r="AH150" s="1"/>
      <c r="AI150" s="1"/>
      <c r="AJ150" s="1"/>
      <c r="AK150" s="1"/>
      <c r="AL150" s="1"/>
      <c r="AM150" s="1"/>
      <c r="AN150" s="1">
        <v>1</v>
      </c>
      <c r="AO150" s="1"/>
      <c r="AP150" s="1">
        <v>1</v>
      </c>
      <c r="AQ150" s="1"/>
      <c r="AR150" s="1"/>
      <c r="AS150" s="1"/>
      <c r="AT150" s="1"/>
      <c r="AU150" s="1"/>
      <c r="AV150" s="1"/>
      <c r="AW150" s="1"/>
      <c r="AX150" s="1">
        <v>1</v>
      </c>
      <c r="AY150" s="1"/>
      <c r="AZ150" s="1"/>
      <c r="BA150" s="1"/>
      <c r="BB150" s="1"/>
      <c r="BC150" s="1"/>
      <c r="BD150" s="1"/>
      <c r="BE150" s="1"/>
      <c r="BF150" s="1">
        <v>1</v>
      </c>
      <c r="BG150" s="1">
        <v>1</v>
      </c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>
        <v>4</v>
      </c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>
        <v>1</v>
      </c>
      <c r="CE150" s="1"/>
      <c r="CF150" s="1"/>
      <c r="CG150" s="1"/>
      <c r="CH150" s="1"/>
      <c r="CI150" s="1"/>
      <c r="CJ150" s="1">
        <v>1</v>
      </c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4">
        <f t="shared" si="2"/>
        <v>16</v>
      </c>
    </row>
    <row r="151" spans="1:103" ht="12.75">
      <c r="A151" s="2" t="s">
        <v>169</v>
      </c>
      <c r="B151" s="127" t="s">
        <v>18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>
        <v>1</v>
      </c>
      <c r="W151" s="1">
        <v>1</v>
      </c>
      <c r="X151" s="1">
        <v>1</v>
      </c>
      <c r="Y151" s="1"/>
      <c r="Z151" s="1">
        <v>4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>
        <v>1</v>
      </c>
      <c r="AO151" s="1"/>
      <c r="AP151" s="1">
        <v>1</v>
      </c>
      <c r="AQ151" s="1"/>
      <c r="AR151" s="1"/>
      <c r="AS151" s="1"/>
      <c r="AT151" s="1"/>
      <c r="AU151" s="1"/>
      <c r="AV151" s="1"/>
      <c r="AW151" s="1"/>
      <c r="AX151" s="1">
        <v>1</v>
      </c>
      <c r="AY151" s="1"/>
      <c r="AZ151" s="1"/>
      <c r="BA151" s="1"/>
      <c r="BB151" s="1"/>
      <c r="BC151" s="1"/>
      <c r="BD151" s="1"/>
      <c r="BE151" s="1"/>
      <c r="BF151" s="1">
        <v>1</v>
      </c>
      <c r="BG151" s="1">
        <v>1</v>
      </c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>
        <v>4</v>
      </c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>
        <v>1</v>
      </c>
      <c r="CE151" s="1"/>
      <c r="CF151" s="1"/>
      <c r="CG151" s="1"/>
      <c r="CH151" s="1"/>
      <c r="CI151" s="1"/>
      <c r="CJ151" s="1">
        <v>1</v>
      </c>
      <c r="CK151" s="1"/>
      <c r="CL151" s="1"/>
      <c r="CM151" s="1"/>
      <c r="CN151" s="1"/>
      <c r="CO151" s="1"/>
      <c r="CP151" s="1"/>
      <c r="CQ151" s="1"/>
      <c r="CR151" s="1">
        <v>1</v>
      </c>
      <c r="CS151" s="1"/>
      <c r="CT151" s="1"/>
      <c r="CU151" s="1"/>
      <c r="CV151" s="1"/>
      <c r="CW151" s="1"/>
      <c r="CX151" s="1"/>
      <c r="CY151" s="4">
        <f t="shared" si="2"/>
        <v>19</v>
      </c>
    </row>
    <row r="152" spans="1:103" ht="12.75">
      <c r="A152" s="2" t="s">
        <v>165</v>
      </c>
      <c r="B152" s="127" t="s">
        <v>18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1</v>
      </c>
      <c r="W152" s="1">
        <v>1</v>
      </c>
      <c r="X152" s="1"/>
      <c r="Y152" s="1"/>
      <c r="Z152" s="1">
        <v>4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>
        <v>1</v>
      </c>
      <c r="AO152" s="1"/>
      <c r="AP152" s="1">
        <v>1</v>
      </c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>
        <v>1</v>
      </c>
      <c r="BG152" s="1">
        <v>1</v>
      </c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4">
        <f t="shared" si="2"/>
        <v>10</v>
      </c>
    </row>
    <row r="153" spans="1:149" ht="12.75">
      <c r="A153" s="71" t="s">
        <v>181</v>
      </c>
      <c r="B153" s="127" t="s">
        <v>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>
        <v>1</v>
      </c>
      <c r="AH153" s="4"/>
      <c r="AI153" s="4"/>
      <c r="AJ153" s="4"/>
      <c r="AK153" s="4"/>
      <c r="AL153" s="4"/>
      <c r="AM153" s="4"/>
      <c r="AN153" s="4"/>
      <c r="AO153" s="4"/>
      <c r="AP153" s="4"/>
      <c r="AQ153" s="4">
        <v>1</v>
      </c>
      <c r="AR153" s="4"/>
      <c r="AS153" s="4"/>
      <c r="AT153" s="4"/>
      <c r="AU153" s="4">
        <v>1</v>
      </c>
      <c r="AV153" s="4"/>
      <c r="AW153" s="4">
        <v>1</v>
      </c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>
        <v>1</v>
      </c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>
        <f t="shared" si="2"/>
        <v>5</v>
      </c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O153" s="47"/>
      <c r="ES153" s="47"/>
    </row>
    <row r="154" spans="1:143" ht="12.75">
      <c r="A154" s="71" t="s">
        <v>173</v>
      </c>
      <c r="B154" s="127" t="s">
        <v>18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>
        <v>1</v>
      </c>
      <c r="AR154" s="4"/>
      <c r="AS154" s="4"/>
      <c r="AT154" s="4"/>
      <c r="AU154" s="4">
        <v>1</v>
      </c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>
        <v>1</v>
      </c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>
        <f t="shared" si="2"/>
        <v>3</v>
      </c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03" ht="12.75">
      <c r="A155" s="114" t="s">
        <v>234</v>
      </c>
      <c r="B155" s="115" t="s">
        <v>18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>
        <v>1</v>
      </c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4">
        <f t="shared" si="2"/>
        <v>1</v>
      </c>
    </row>
    <row r="156" spans="1:103" ht="12.75">
      <c r="A156" s="114" t="s">
        <v>276</v>
      </c>
      <c r="B156" s="115" t="s">
        <v>21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>
        <v>1</v>
      </c>
      <c r="AP156" s="1"/>
      <c r="AQ156" s="1"/>
      <c r="AR156" s="1"/>
      <c r="AS156" s="1">
        <v>1</v>
      </c>
      <c r="AT156" s="1"/>
      <c r="AU156" s="1"/>
      <c r="AV156" s="1"/>
      <c r="AW156" s="1">
        <v>1</v>
      </c>
      <c r="AX156" s="1"/>
      <c r="AY156" s="1"/>
      <c r="AZ156" s="1"/>
      <c r="BA156" s="1"/>
      <c r="BB156" s="1"/>
      <c r="BC156" s="1"/>
      <c r="BD156" s="1"/>
      <c r="BE156" s="1"/>
      <c r="BF156" s="1"/>
      <c r="BG156" s="1">
        <v>1</v>
      </c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>
        <v>1</v>
      </c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>
        <v>1</v>
      </c>
      <c r="CQ156" s="1"/>
      <c r="CR156" s="1"/>
      <c r="CS156" s="1"/>
      <c r="CT156" s="1"/>
      <c r="CU156" s="1"/>
      <c r="CV156" s="1"/>
      <c r="CW156" s="1"/>
      <c r="CX156" s="1"/>
      <c r="CY156" s="4">
        <f t="shared" si="2"/>
        <v>6</v>
      </c>
    </row>
    <row r="157" spans="1:149" ht="12.75">
      <c r="A157" s="2" t="s">
        <v>79</v>
      </c>
      <c r="B157" s="127" t="s">
        <v>18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>
        <v>1</v>
      </c>
      <c r="X157" s="4">
        <v>1</v>
      </c>
      <c r="Y157" s="4"/>
      <c r="Z157" s="4"/>
      <c r="AA157" s="4"/>
      <c r="AB157" s="4"/>
      <c r="AC157" s="4"/>
      <c r="AD157" s="4"/>
      <c r="AE157" s="4"/>
      <c r="AF157" s="4"/>
      <c r="AG157" s="4">
        <v>1</v>
      </c>
      <c r="AH157" s="4"/>
      <c r="AI157" s="4"/>
      <c r="AJ157" s="4"/>
      <c r="AK157" s="4"/>
      <c r="AL157" s="4"/>
      <c r="AM157" s="4"/>
      <c r="AN157" s="4"/>
      <c r="AO157" s="4">
        <v>1</v>
      </c>
      <c r="AP157" s="4"/>
      <c r="AQ157" s="4"/>
      <c r="AR157" s="4"/>
      <c r="AS157" s="4">
        <v>1</v>
      </c>
      <c r="AT157" s="4"/>
      <c r="AU157" s="4"/>
      <c r="AV157" s="4"/>
      <c r="AW157" s="4">
        <v>1</v>
      </c>
      <c r="AX157" s="4">
        <v>1</v>
      </c>
      <c r="AY157" s="4"/>
      <c r="AZ157" s="4"/>
      <c r="BA157" s="4"/>
      <c r="BB157" s="4"/>
      <c r="BC157" s="4"/>
      <c r="BD157" s="4"/>
      <c r="BE157" s="4"/>
      <c r="BF157" s="4">
        <v>1</v>
      </c>
      <c r="BG157" s="4">
        <v>1</v>
      </c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>
        <v>1</v>
      </c>
      <c r="BY157" s="4"/>
      <c r="BZ157" s="4">
        <v>1</v>
      </c>
      <c r="CA157" s="4"/>
      <c r="CB157" s="4"/>
      <c r="CC157" s="4"/>
      <c r="CD157" s="4"/>
      <c r="CE157" s="4">
        <v>1</v>
      </c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>
        <v>1</v>
      </c>
      <c r="CS157" s="4"/>
      <c r="CT157" s="4"/>
      <c r="CU157" s="4"/>
      <c r="CV157" s="4"/>
      <c r="CW157" s="4"/>
      <c r="CX157" s="4"/>
      <c r="CY157" s="4">
        <f t="shared" si="2"/>
        <v>13</v>
      </c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O157" s="47"/>
      <c r="ES157" s="47"/>
    </row>
    <row r="158" spans="1:149" ht="12.75">
      <c r="A158" s="2" t="s">
        <v>80</v>
      </c>
      <c r="B158" s="127" t="s">
        <v>18</v>
      </c>
      <c r="C158" s="4"/>
      <c r="D158" s="4"/>
      <c r="E158" s="4">
        <v>2</v>
      </c>
      <c r="F158" s="4">
        <v>1</v>
      </c>
      <c r="G158" s="4">
        <v>1</v>
      </c>
      <c r="H158" s="4">
        <v>2</v>
      </c>
      <c r="I158" s="4">
        <v>1</v>
      </c>
      <c r="J158" s="4">
        <v>1</v>
      </c>
      <c r="K158" s="4">
        <v>1</v>
      </c>
      <c r="L158" s="4"/>
      <c r="M158" s="4">
        <v>1</v>
      </c>
      <c r="N158" s="4">
        <v>1</v>
      </c>
      <c r="O158" s="4"/>
      <c r="P158" s="4"/>
      <c r="Q158" s="4">
        <v>1</v>
      </c>
      <c r="R158" s="4"/>
      <c r="S158" s="4">
        <v>1</v>
      </c>
      <c r="T158" s="4"/>
      <c r="U158" s="4"/>
      <c r="V158" s="4"/>
      <c r="W158" s="4">
        <v>1</v>
      </c>
      <c r="X158" s="4">
        <v>1</v>
      </c>
      <c r="Y158" s="4">
        <v>1</v>
      </c>
      <c r="Z158" s="4">
        <v>5</v>
      </c>
      <c r="AA158" s="4"/>
      <c r="AB158" s="4"/>
      <c r="AC158" s="4"/>
      <c r="AD158" s="4"/>
      <c r="AE158" s="4"/>
      <c r="AF158" s="4"/>
      <c r="AG158" s="4"/>
      <c r="AH158" s="4">
        <v>1</v>
      </c>
      <c r="AI158" s="4">
        <v>1</v>
      </c>
      <c r="AJ158" s="4"/>
      <c r="AK158" s="4"/>
      <c r="AL158" s="4"/>
      <c r="AM158" s="4">
        <v>1</v>
      </c>
      <c r="AN158" s="4"/>
      <c r="AO158" s="4">
        <v>1</v>
      </c>
      <c r="AP158" s="4"/>
      <c r="AQ158" s="4"/>
      <c r="AR158" s="4"/>
      <c r="AS158" s="4">
        <v>1</v>
      </c>
      <c r="AT158" s="4"/>
      <c r="AU158" s="4">
        <v>1</v>
      </c>
      <c r="AV158" s="4"/>
      <c r="AW158" s="4">
        <v>1</v>
      </c>
      <c r="AX158" s="4">
        <v>1</v>
      </c>
      <c r="AY158" s="4"/>
      <c r="AZ158" s="4"/>
      <c r="BA158" s="4"/>
      <c r="BB158" s="4"/>
      <c r="BC158" s="4"/>
      <c r="BD158" s="4"/>
      <c r="BE158" s="4"/>
      <c r="BF158" s="4"/>
      <c r="BG158" s="4"/>
      <c r="BH158" s="4">
        <v>2</v>
      </c>
      <c r="BI158" s="4"/>
      <c r="BJ158" s="4">
        <v>1</v>
      </c>
      <c r="BK158" s="4"/>
      <c r="BL158" s="4"/>
      <c r="BM158" s="4"/>
      <c r="BN158" s="4">
        <v>1</v>
      </c>
      <c r="BO158" s="4">
        <v>1</v>
      </c>
      <c r="BP158" s="4">
        <v>1</v>
      </c>
      <c r="BQ158" s="4">
        <v>3</v>
      </c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>
        <v>1</v>
      </c>
      <c r="CC158" s="4"/>
      <c r="CD158" s="4">
        <v>1</v>
      </c>
      <c r="CE158" s="4">
        <v>1</v>
      </c>
      <c r="CF158" s="4">
        <v>1</v>
      </c>
      <c r="CG158" s="4"/>
      <c r="CH158" s="4"/>
      <c r="CI158" s="4">
        <v>1</v>
      </c>
      <c r="CJ158" s="4"/>
      <c r="CK158" s="4"/>
      <c r="CL158" s="4"/>
      <c r="CM158" s="4"/>
      <c r="CN158" s="4">
        <v>1</v>
      </c>
      <c r="CO158" s="4"/>
      <c r="CP158" s="4"/>
      <c r="CQ158" s="4"/>
      <c r="CR158" s="4">
        <v>1</v>
      </c>
      <c r="CS158" s="4"/>
      <c r="CT158" s="4">
        <v>1</v>
      </c>
      <c r="CU158" s="4"/>
      <c r="CV158" s="4">
        <v>1</v>
      </c>
      <c r="CW158" s="4"/>
      <c r="CX158" s="4"/>
      <c r="CY158" s="4">
        <f t="shared" si="2"/>
        <v>47</v>
      </c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O158" s="47"/>
      <c r="ES158" s="47"/>
    </row>
    <row r="159" spans="1:149" ht="12.75">
      <c r="A159" s="2" t="s">
        <v>81</v>
      </c>
      <c r="B159" s="127" t="s">
        <v>18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>
        <v>1</v>
      </c>
      <c r="AP159" s="4"/>
      <c r="AQ159" s="4"/>
      <c r="AR159" s="4"/>
      <c r="AS159" s="4">
        <v>1</v>
      </c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>
        <v>1</v>
      </c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>
        <f t="shared" si="2"/>
        <v>3</v>
      </c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O159" s="47"/>
      <c r="ES159" s="47"/>
    </row>
    <row r="160" spans="1:149" ht="12.75">
      <c r="A160" s="2" t="s">
        <v>82</v>
      </c>
      <c r="B160" s="127" t="s">
        <v>18</v>
      </c>
      <c r="C160" s="4"/>
      <c r="D160" s="4"/>
      <c r="E160" s="4"/>
      <c r="F160" s="4">
        <v>1</v>
      </c>
      <c r="G160" s="4">
        <v>1</v>
      </c>
      <c r="H160" s="4"/>
      <c r="I160" s="4"/>
      <c r="J160" s="4">
        <v>1</v>
      </c>
      <c r="K160" s="4"/>
      <c r="L160" s="4"/>
      <c r="M160" s="4"/>
      <c r="N160" s="4">
        <v>1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>
        <v>1</v>
      </c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>
        <v>1</v>
      </c>
      <c r="AY160" s="4"/>
      <c r="AZ160" s="4"/>
      <c r="BA160" s="4"/>
      <c r="BB160" s="4"/>
      <c r="BC160" s="4"/>
      <c r="BD160" s="4"/>
      <c r="BE160" s="4"/>
      <c r="BF160" s="4"/>
      <c r="BG160" s="4"/>
      <c r="BH160" s="4">
        <v>2</v>
      </c>
      <c r="BI160" s="4"/>
      <c r="BJ160" s="4">
        <v>1</v>
      </c>
      <c r="BK160" s="4"/>
      <c r="BL160" s="4"/>
      <c r="BM160" s="4"/>
      <c r="BN160" s="4">
        <v>1</v>
      </c>
      <c r="BO160" s="4">
        <v>1</v>
      </c>
      <c r="BP160" s="4"/>
      <c r="BQ160" s="4"/>
      <c r="BR160" s="4"/>
      <c r="BS160" s="4"/>
      <c r="BT160" s="4"/>
      <c r="BU160" s="4"/>
      <c r="BV160" s="4"/>
      <c r="BW160" s="4"/>
      <c r="BX160" s="4"/>
      <c r="BY160" s="4">
        <v>1</v>
      </c>
      <c r="BZ160" s="4"/>
      <c r="CA160" s="4"/>
      <c r="CB160" s="4">
        <v>1</v>
      </c>
      <c r="CC160" s="4"/>
      <c r="CD160" s="4">
        <v>1</v>
      </c>
      <c r="CE160" s="4">
        <v>1</v>
      </c>
      <c r="CF160" s="4">
        <v>1</v>
      </c>
      <c r="CG160" s="4"/>
      <c r="CH160" s="4"/>
      <c r="CI160" s="4">
        <v>1</v>
      </c>
      <c r="CJ160" s="4"/>
      <c r="CK160" s="4"/>
      <c r="CL160" s="4"/>
      <c r="CM160" s="4"/>
      <c r="CN160" s="4">
        <v>1</v>
      </c>
      <c r="CO160" s="4"/>
      <c r="CP160" s="4"/>
      <c r="CQ160" s="4"/>
      <c r="CR160" s="4">
        <v>1</v>
      </c>
      <c r="CS160" s="4"/>
      <c r="CT160" s="4">
        <v>3</v>
      </c>
      <c r="CU160" s="4"/>
      <c r="CV160" s="4">
        <v>1</v>
      </c>
      <c r="CW160" s="4"/>
      <c r="CX160" s="4"/>
      <c r="CY160" s="4">
        <f t="shared" si="2"/>
        <v>23</v>
      </c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O160" s="47"/>
      <c r="ES160" s="47"/>
    </row>
    <row r="161" spans="1:149" ht="12.75">
      <c r="A161" s="2" t="s">
        <v>874</v>
      </c>
      <c r="B161" s="123" t="s">
        <v>21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>
        <v>1</v>
      </c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>
        <f t="shared" si="2"/>
        <v>1</v>
      </c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O161" s="47"/>
      <c r="ES161" s="47"/>
    </row>
    <row r="162" spans="1:149" ht="12.75">
      <c r="A162" s="114" t="s">
        <v>233</v>
      </c>
      <c r="B162" s="115" t="s">
        <v>152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>
        <v>1</v>
      </c>
      <c r="X162" s="4">
        <v>1</v>
      </c>
      <c r="Y162" s="4"/>
      <c r="Z162" s="4">
        <v>5</v>
      </c>
      <c r="AA162" s="4"/>
      <c r="AB162" s="4"/>
      <c r="AC162" s="4"/>
      <c r="AD162" s="4"/>
      <c r="AE162" s="4"/>
      <c r="AF162" s="4">
        <v>1</v>
      </c>
      <c r="AG162" s="4">
        <v>1</v>
      </c>
      <c r="AH162" s="4"/>
      <c r="AI162" s="4"/>
      <c r="AJ162" s="4"/>
      <c r="AK162" s="4">
        <v>1</v>
      </c>
      <c r="AL162" s="4"/>
      <c r="AM162" s="4"/>
      <c r="AN162" s="4"/>
      <c r="AO162" s="4"/>
      <c r="AP162" s="4"/>
      <c r="AQ162" s="4"/>
      <c r="AR162" s="4"/>
      <c r="AS162" s="4"/>
      <c r="AT162" s="4"/>
      <c r="AU162" s="4">
        <v>1</v>
      </c>
      <c r="AV162" s="4"/>
      <c r="AW162" s="4"/>
      <c r="AX162" s="4"/>
      <c r="AY162" s="4"/>
      <c r="AZ162" s="4">
        <v>1</v>
      </c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>
        <v>1</v>
      </c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>
        <v>1</v>
      </c>
      <c r="CS162" s="4"/>
      <c r="CT162" s="4"/>
      <c r="CU162" s="4"/>
      <c r="CV162" s="4"/>
      <c r="CW162" s="4"/>
      <c r="CX162" s="4"/>
      <c r="CY162" s="4">
        <f t="shared" si="2"/>
        <v>14</v>
      </c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O162" s="47"/>
      <c r="ES162" s="47"/>
    </row>
    <row r="163" spans="1:149" ht="12.75">
      <c r="A163" s="2" t="s">
        <v>129</v>
      </c>
      <c r="B163" s="127" t="s">
        <v>18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>
        <f t="shared" si="2"/>
        <v>0</v>
      </c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O163" s="47"/>
      <c r="ES163" s="47"/>
    </row>
    <row r="164" spans="1:149" ht="12.75">
      <c r="A164" s="2" t="s">
        <v>109</v>
      </c>
      <c r="B164" s="127" t="s">
        <v>18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>
        <v>5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>
        <f t="shared" si="2"/>
        <v>5</v>
      </c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O164" s="47"/>
      <c r="ES164" s="47"/>
    </row>
    <row r="165" spans="1:103" ht="12.75">
      <c r="A165" s="2" t="s">
        <v>60</v>
      </c>
      <c r="B165" s="127" t="s">
        <v>17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4">
        <f t="shared" si="2"/>
        <v>0</v>
      </c>
    </row>
    <row r="166" spans="1:103" ht="12.75">
      <c r="A166" s="149" t="s">
        <v>623</v>
      </c>
      <c r="B166" s="123" t="s">
        <v>17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>
        <v>1</v>
      </c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4">
        <f t="shared" si="2"/>
        <v>1</v>
      </c>
    </row>
    <row r="167" spans="1:103" ht="12.75">
      <c r="A167" s="2" t="s">
        <v>550</v>
      </c>
      <c r="B167" s="127" t="s">
        <v>17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>
        <v>1</v>
      </c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>
        <v>1</v>
      </c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4">
        <f t="shared" si="2"/>
        <v>2</v>
      </c>
    </row>
    <row r="168" spans="1:103" ht="12.75">
      <c r="A168" s="149" t="s">
        <v>884</v>
      </c>
      <c r="B168" s="127" t="s">
        <v>17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>
        <v>1</v>
      </c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4">
        <f t="shared" si="2"/>
        <v>1</v>
      </c>
    </row>
    <row r="169" spans="1:103" ht="12.75">
      <c r="A169" s="149" t="s">
        <v>624</v>
      </c>
      <c r="B169" s="123" t="s">
        <v>17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>
        <v>1</v>
      </c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4">
        <f t="shared" si="2"/>
        <v>1</v>
      </c>
    </row>
    <row r="170" spans="1:103" ht="12.75">
      <c r="A170" s="149" t="s">
        <v>625</v>
      </c>
      <c r="B170" s="123" t="s">
        <v>17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>
        <v>1</v>
      </c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>
        <v>1</v>
      </c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4">
        <f t="shared" si="2"/>
        <v>2</v>
      </c>
    </row>
    <row r="171" spans="1:103" ht="12.75">
      <c r="A171" s="2" t="s">
        <v>551</v>
      </c>
      <c r="B171" s="127" t="s">
        <v>17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>
        <v>1</v>
      </c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4">
        <f aca="true" t="shared" si="3" ref="CY171:CY201">SUM(C171:CX171)</f>
        <v>1</v>
      </c>
    </row>
    <row r="172" spans="1:103" ht="12.75">
      <c r="A172" s="149" t="s">
        <v>567</v>
      </c>
      <c r="B172" s="123" t="s">
        <v>21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>
        <v>1</v>
      </c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>
        <v>1</v>
      </c>
      <c r="CE172" s="1"/>
      <c r="CF172" s="1"/>
      <c r="CG172" s="1"/>
      <c r="CH172" s="1"/>
      <c r="CI172" s="1"/>
      <c r="CJ172" s="1">
        <v>1</v>
      </c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4">
        <f t="shared" si="3"/>
        <v>3</v>
      </c>
    </row>
    <row r="173" spans="1:103" ht="12.75">
      <c r="A173" s="2" t="s">
        <v>875</v>
      </c>
      <c r="B173" s="123" t="s">
        <v>21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>
        <v>1</v>
      </c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4">
        <f t="shared" si="3"/>
        <v>1</v>
      </c>
    </row>
    <row r="174" spans="1:103" ht="12.75">
      <c r="A174" s="126" t="s">
        <v>931</v>
      </c>
      <c r="B174" s="123" t="s">
        <v>21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>
        <v>1</v>
      </c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4">
        <f t="shared" si="3"/>
        <v>1</v>
      </c>
    </row>
    <row r="175" spans="1:103" ht="12.75">
      <c r="A175" s="126" t="s">
        <v>932</v>
      </c>
      <c r="B175" s="123" t="s">
        <v>21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>
        <v>1</v>
      </c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4">
        <f t="shared" si="3"/>
        <v>1</v>
      </c>
    </row>
    <row r="176" spans="1:143" ht="12.75">
      <c r="A176" s="114" t="s">
        <v>244</v>
      </c>
      <c r="B176" s="109" t="s">
        <v>18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>
        <f t="shared" si="3"/>
        <v>0</v>
      </c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9" ht="12.75">
      <c r="A177" s="2" t="s">
        <v>83</v>
      </c>
      <c r="B177" s="127" t="s">
        <v>18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>
        <v>1</v>
      </c>
      <c r="AP177" s="4"/>
      <c r="AQ177" s="4"/>
      <c r="AR177" s="4"/>
      <c r="AS177" s="4">
        <v>1</v>
      </c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>
        <v>4</v>
      </c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>
        <f t="shared" si="3"/>
        <v>6</v>
      </c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O177" s="47"/>
      <c r="ES177" s="47"/>
    </row>
    <row r="178" spans="1:149" ht="12.75">
      <c r="A178" s="2" t="s">
        <v>84</v>
      </c>
      <c r="B178" s="127" t="s">
        <v>18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>
        <v>1</v>
      </c>
      <c r="AP178" s="4"/>
      <c r="AQ178" s="4"/>
      <c r="AR178" s="4"/>
      <c r="AS178" s="4">
        <v>1</v>
      </c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>
        <v>4</v>
      </c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>
        <f t="shared" si="3"/>
        <v>6</v>
      </c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O178" s="47"/>
      <c r="ES178" s="47"/>
    </row>
    <row r="179" spans="1:149" ht="12.75">
      <c r="A179" s="2" t="s">
        <v>85</v>
      </c>
      <c r="B179" s="127" t="s">
        <v>18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>
        <v>1</v>
      </c>
      <c r="AP179" s="4"/>
      <c r="AQ179" s="4"/>
      <c r="AR179" s="4"/>
      <c r="AS179" s="4">
        <v>1</v>
      </c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>
        <v>4</v>
      </c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>
        <f t="shared" si="3"/>
        <v>6</v>
      </c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O179" s="47"/>
      <c r="ES179" s="47"/>
    </row>
    <row r="180" spans="1:149" ht="12.75">
      <c r="A180" s="2" t="s">
        <v>86</v>
      </c>
      <c r="B180" s="127" t="s">
        <v>18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>
        <v>1</v>
      </c>
      <c r="AP180" s="4"/>
      <c r="AQ180" s="4"/>
      <c r="AR180" s="4"/>
      <c r="AS180" s="4">
        <v>1</v>
      </c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>
        <v>4</v>
      </c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>
        <f t="shared" si="3"/>
        <v>6</v>
      </c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9"/>
      <c r="DL180" s="49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O180" s="47"/>
      <c r="ES180" s="47"/>
    </row>
    <row r="181" spans="1:103" ht="12.75">
      <c r="A181" s="112" t="s">
        <v>208</v>
      </c>
      <c r="B181" s="127" t="s">
        <v>152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4">
        <f t="shared" si="3"/>
        <v>0</v>
      </c>
    </row>
    <row r="182" spans="1:103" ht="12.75">
      <c r="A182" s="149" t="s">
        <v>499</v>
      </c>
      <c r="B182" s="123" t="s">
        <v>21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>
        <v>1</v>
      </c>
      <c r="W182" s="1">
        <v>1</v>
      </c>
      <c r="X182" s="1">
        <v>1</v>
      </c>
      <c r="Y182" s="1"/>
      <c r="Z182" s="1"/>
      <c r="AA182" s="1"/>
      <c r="AB182" s="1"/>
      <c r="AC182" s="1"/>
      <c r="AD182" s="1"/>
      <c r="AE182" s="1"/>
      <c r="AF182" s="1">
        <v>1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>
        <v>1</v>
      </c>
      <c r="AX182" s="1"/>
      <c r="AY182" s="1"/>
      <c r="AZ182" s="1"/>
      <c r="BA182" s="1"/>
      <c r="BB182" s="1">
        <v>1</v>
      </c>
      <c r="BC182" s="1"/>
      <c r="BD182" s="1"/>
      <c r="BE182" s="1">
        <v>1</v>
      </c>
      <c r="BF182" s="1">
        <v>1</v>
      </c>
      <c r="BG182" s="1">
        <v>1</v>
      </c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>
        <v>1</v>
      </c>
      <c r="BV182" s="1"/>
      <c r="BW182" s="1"/>
      <c r="BX182" s="1">
        <v>2</v>
      </c>
      <c r="BY182" s="1"/>
      <c r="BZ182" s="1"/>
      <c r="CA182" s="1"/>
      <c r="CB182" s="1"/>
      <c r="CC182" s="1"/>
      <c r="CD182" s="1">
        <v>1</v>
      </c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>
        <v>1</v>
      </c>
      <c r="CQ182" s="1"/>
      <c r="CR182" s="1"/>
      <c r="CS182" s="1"/>
      <c r="CT182" s="1"/>
      <c r="CU182" s="1"/>
      <c r="CV182" s="1"/>
      <c r="CW182" s="1"/>
      <c r="CX182" s="1"/>
      <c r="CY182" s="4">
        <f t="shared" si="3"/>
        <v>14</v>
      </c>
    </row>
    <row r="183" spans="1:143" ht="12.75">
      <c r="A183" s="149" t="s">
        <v>509</v>
      </c>
      <c r="B183" s="127" t="s">
        <v>21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>
        <v>1</v>
      </c>
      <c r="Y183" s="4"/>
      <c r="Z183" s="4"/>
      <c r="AA183" s="4"/>
      <c r="AB183" s="4"/>
      <c r="AC183" s="4"/>
      <c r="AD183" s="4"/>
      <c r="AE183" s="4"/>
      <c r="AF183" s="4">
        <v>1</v>
      </c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>
        <v>1</v>
      </c>
      <c r="AX183" s="4"/>
      <c r="AY183" s="4"/>
      <c r="AZ183" s="4"/>
      <c r="BA183" s="4"/>
      <c r="BB183" s="4">
        <v>1</v>
      </c>
      <c r="BC183" s="4"/>
      <c r="BD183" s="4"/>
      <c r="BE183" s="4">
        <v>1</v>
      </c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>
        <v>2</v>
      </c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>
        <v>1</v>
      </c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>
        <f t="shared" si="3"/>
        <v>8</v>
      </c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</row>
    <row r="184" spans="1:143" ht="12.75">
      <c r="A184" s="112" t="s">
        <v>170</v>
      </c>
      <c r="B184" s="127" t="s">
        <v>152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>
        <v>1</v>
      </c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>
        <v>1</v>
      </c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>
        <f t="shared" si="3"/>
        <v>2</v>
      </c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</row>
    <row r="185" spans="1:103" ht="12.75">
      <c r="A185" s="2" t="s">
        <v>207</v>
      </c>
      <c r="B185" s="127" t="s">
        <v>17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>
        <v>1</v>
      </c>
      <c r="AC185" s="1"/>
      <c r="AD185" s="1"/>
      <c r="AE185" s="1">
        <v>1</v>
      </c>
      <c r="AF185" s="1"/>
      <c r="AG185" s="1"/>
      <c r="AH185" s="1"/>
      <c r="AI185" s="1"/>
      <c r="AJ185" s="1"/>
      <c r="AK185" s="1"/>
      <c r="AL185" s="1"/>
      <c r="AM185" s="1"/>
      <c r="AN185" s="1"/>
      <c r="AO185" s="1">
        <v>1</v>
      </c>
      <c r="AP185" s="1"/>
      <c r="AQ185" s="1">
        <v>1</v>
      </c>
      <c r="AR185" s="1"/>
      <c r="AS185" s="1"/>
      <c r="AT185" s="1"/>
      <c r="AU185" s="1"/>
      <c r="AV185" s="1">
        <v>1</v>
      </c>
      <c r="AW185" s="1">
        <v>1</v>
      </c>
      <c r="AX185" s="1"/>
      <c r="AY185" s="1"/>
      <c r="AZ185" s="1"/>
      <c r="BA185" s="1"/>
      <c r="BB185" s="1"/>
      <c r="BC185" s="1"/>
      <c r="BD185" s="1"/>
      <c r="BE185" s="1"/>
      <c r="BF185" s="1">
        <v>1</v>
      </c>
      <c r="BG185" s="1">
        <v>1</v>
      </c>
      <c r="BH185" s="1"/>
      <c r="BI185" s="1"/>
      <c r="BJ185" s="1"/>
      <c r="BK185" s="1"/>
      <c r="BL185" s="1">
        <v>2</v>
      </c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>
        <v>1</v>
      </c>
      <c r="CD185" s="1">
        <v>1</v>
      </c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4">
        <f t="shared" si="3"/>
        <v>12</v>
      </c>
    </row>
    <row r="186" spans="1:103" ht="12.75">
      <c r="A186" s="112" t="s">
        <v>305</v>
      </c>
      <c r="B186" s="109" t="s">
        <v>17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4">
        <f t="shared" si="3"/>
        <v>0</v>
      </c>
    </row>
    <row r="187" spans="1:103" ht="12.75">
      <c r="A187" s="2" t="s">
        <v>61</v>
      </c>
      <c r="B187" s="127" t="s">
        <v>17</v>
      </c>
      <c r="C187" s="1"/>
      <c r="D187" s="1">
        <v>1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>
        <v>1</v>
      </c>
      <c r="AC187" s="1"/>
      <c r="AD187" s="1"/>
      <c r="AE187" s="1">
        <v>1</v>
      </c>
      <c r="AF187" s="1"/>
      <c r="AG187" s="1"/>
      <c r="AH187" s="1"/>
      <c r="AI187" s="1"/>
      <c r="AJ187" s="1"/>
      <c r="AK187" s="1"/>
      <c r="AL187" s="1"/>
      <c r="AM187" s="1"/>
      <c r="AN187" s="1"/>
      <c r="AO187" s="1">
        <v>1</v>
      </c>
      <c r="AP187" s="1"/>
      <c r="AQ187" s="1">
        <v>1</v>
      </c>
      <c r="AR187" s="1"/>
      <c r="AS187" s="1"/>
      <c r="AT187" s="1"/>
      <c r="AU187" s="1"/>
      <c r="AV187" s="1">
        <v>1</v>
      </c>
      <c r="AW187" s="1"/>
      <c r="AX187" s="1"/>
      <c r="AY187" s="1"/>
      <c r="AZ187" s="1"/>
      <c r="BA187" s="1"/>
      <c r="BB187" s="1"/>
      <c r="BC187" s="1"/>
      <c r="BD187" s="1"/>
      <c r="BE187" s="1"/>
      <c r="BF187" s="1">
        <v>1</v>
      </c>
      <c r="BG187" s="1">
        <v>1</v>
      </c>
      <c r="BH187" s="1"/>
      <c r="BI187" s="1"/>
      <c r="BJ187" s="1"/>
      <c r="BK187" s="1">
        <v>1</v>
      </c>
      <c r="BL187" s="1">
        <v>2</v>
      </c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>
        <v>1</v>
      </c>
      <c r="CA187" s="1">
        <v>1</v>
      </c>
      <c r="CB187" s="1"/>
      <c r="CC187" s="1">
        <v>1</v>
      </c>
      <c r="CD187" s="1">
        <v>1</v>
      </c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4">
        <f t="shared" si="3"/>
        <v>15</v>
      </c>
    </row>
    <row r="188" spans="1:103" ht="12.75">
      <c r="A188" s="2" t="s">
        <v>64</v>
      </c>
      <c r="B188" s="127" t="s">
        <v>17</v>
      </c>
      <c r="C188" s="1"/>
      <c r="D188" s="1">
        <v>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>
        <v>1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>
        <v>1</v>
      </c>
      <c r="AP188" s="1"/>
      <c r="AQ188" s="1">
        <v>1</v>
      </c>
      <c r="AR188" s="1"/>
      <c r="AS188" s="1"/>
      <c r="AT188" s="1"/>
      <c r="AU188" s="1"/>
      <c r="AV188" s="1">
        <v>1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>
        <v>1</v>
      </c>
      <c r="BG188" s="1">
        <v>1</v>
      </c>
      <c r="BH188" s="1"/>
      <c r="BI188" s="1"/>
      <c r="BJ188" s="1"/>
      <c r="BK188" s="1">
        <v>1</v>
      </c>
      <c r="BL188" s="1">
        <v>2</v>
      </c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>
        <v>1</v>
      </c>
      <c r="CD188" s="1">
        <v>1</v>
      </c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4">
        <f t="shared" si="3"/>
        <v>12</v>
      </c>
    </row>
    <row r="189" spans="1:103" ht="12.75">
      <c r="A189" s="149" t="s">
        <v>568</v>
      </c>
      <c r="B189" s="123" t="s">
        <v>17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>
        <v>1</v>
      </c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4">
        <f t="shared" si="3"/>
        <v>1</v>
      </c>
    </row>
    <row r="190" spans="1:149" ht="12.75">
      <c r="A190" s="2" t="s">
        <v>236</v>
      </c>
      <c r="B190" s="127" t="s">
        <v>21</v>
      </c>
      <c r="C190" s="40"/>
      <c r="D190" s="40">
        <v>1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>
        <v>1</v>
      </c>
      <c r="W190" s="40">
        <v>1</v>
      </c>
      <c r="X190" s="40"/>
      <c r="Y190" s="40">
        <v>1</v>
      </c>
      <c r="Z190" s="40"/>
      <c r="AA190" s="40"/>
      <c r="AB190" s="40">
        <v>1</v>
      </c>
      <c r="AC190" s="40"/>
      <c r="AD190" s="40">
        <v>1</v>
      </c>
      <c r="AE190" s="40">
        <v>1</v>
      </c>
      <c r="AF190" s="40"/>
      <c r="AG190" s="40">
        <v>1</v>
      </c>
      <c r="AH190" s="40"/>
      <c r="AI190" s="40"/>
      <c r="AJ190" s="40"/>
      <c r="AK190" s="40"/>
      <c r="AL190" s="40"/>
      <c r="AM190" s="40"/>
      <c r="AN190" s="40"/>
      <c r="AO190" s="40"/>
      <c r="AP190" s="40"/>
      <c r="AQ190" s="40">
        <v>1</v>
      </c>
      <c r="AR190" s="40"/>
      <c r="AS190" s="40">
        <v>1</v>
      </c>
      <c r="AT190" s="40"/>
      <c r="AU190" s="40"/>
      <c r="AV190" s="40">
        <v>1</v>
      </c>
      <c r="AW190" s="40">
        <v>1</v>
      </c>
      <c r="AX190" s="40">
        <v>1</v>
      </c>
      <c r="AY190" s="40"/>
      <c r="AZ190" s="40">
        <v>1</v>
      </c>
      <c r="BA190" s="40"/>
      <c r="BB190" s="40"/>
      <c r="BC190" s="40">
        <v>1</v>
      </c>
      <c r="BD190" s="40">
        <v>1</v>
      </c>
      <c r="BE190" s="40"/>
      <c r="BF190" s="40">
        <v>1</v>
      </c>
      <c r="BG190" s="40">
        <v>1</v>
      </c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>
        <v>3</v>
      </c>
      <c r="BS190" s="40"/>
      <c r="BT190" s="40"/>
      <c r="BU190" s="40"/>
      <c r="BV190" s="40"/>
      <c r="BW190" s="40">
        <v>1</v>
      </c>
      <c r="BX190" s="40"/>
      <c r="BY190" s="40"/>
      <c r="BZ190" s="40"/>
      <c r="CA190" s="40"/>
      <c r="CB190" s="40"/>
      <c r="CC190" s="40">
        <v>1</v>
      </c>
      <c r="CD190" s="40">
        <v>1</v>
      </c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"/>
      <c r="CY190" s="4">
        <f t="shared" si="3"/>
        <v>24</v>
      </c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O190" s="47"/>
      <c r="ES190" s="47"/>
    </row>
    <row r="191" spans="1:149" ht="12.75">
      <c r="A191" s="2" t="s">
        <v>158</v>
      </c>
      <c r="B191" s="127" t="s">
        <v>21</v>
      </c>
      <c r="C191" s="40">
        <v>1</v>
      </c>
      <c r="D191" s="40">
        <v>1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>
        <v>1</v>
      </c>
      <c r="V191" s="40">
        <v>1</v>
      </c>
      <c r="W191" s="40">
        <v>1</v>
      </c>
      <c r="X191" s="40"/>
      <c r="Y191" s="40">
        <v>1</v>
      </c>
      <c r="Z191" s="40"/>
      <c r="AA191" s="40"/>
      <c r="AB191" s="40">
        <v>1</v>
      </c>
      <c r="AC191" s="40"/>
      <c r="AD191" s="40">
        <v>1</v>
      </c>
      <c r="AE191" s="40">
        <v>1</v>
      </c>
      <c r="AF191" s="40"/>
      <c r="AG191" s="40">
        <v>1</v>
      </c>
      <c r="AH191" s="40"/>
      <c r="AI191" s="40"/>
      <c r="AJ191" s="40"/>
      <c r="AK191" s="40"/>
      <c r="AL191" s="40"/>
      <c r="AM191" s="40"/>
      <c r="AN191" s="40"/>
      <c r="AO191" s="40"/>
      <c r="AP191" s="40"/>
      <c r="AQ191" s="40">
        <v>1</v>
      </c>
      <c r="AR191" s="40"/>
      <c r="AS191" s="40">
        <v>1</v>
      </c>
      <c r="AT191" s="40"/>
      <c r="AU191" s="40"/>
      <c r="AV191" s="40">
        <v>1</v>
      </c>
      <c r="AW191" s="40"/>
      <c r="AX191" s="40">
        <v>1</v>
      </c>
      <c r="AY191" s="40"/>
      <c r="AZ191" s="40">
        <v>1</v>
      </c>
      <c r="BA191" s="40"/>
      <c r="BB191" s="40"/>
      <c r="BC191" s="40">
        <v>1</v>
      </c>
      <c r="BD191" s="40">
        <v>1</v>
      </c>
      <c r="BE191" s="40"/>
      <c r="BF191" s="40">
        <v>1</v>
      </c>
      <c r="BG191" s="40">
        <v>1</v>
      </c>
      <c r="BH191" s="40"/>
      <c r="BI191" s="40"/>
      <c r="BJ191" s="40"/>
      <c r="BK191" s="40">
        <v>1</v>
      </c>
      <c r="BL191" s="40">
        <v>2</v>
      </c>
      <c r="BM191" s="40"/>
      <c r="BN191" s="40"/>
      <c r="BO191" s="40"/>
      <c r="BP191" s="40"/>
      <c r="BQ191" s="40"/>
      <c r="BR191" s="40">
        <v>3</v>
      </c>
      <c r="BS191" s="40"/>
      <c r="BT191" s="40"/>
      <c r="BU191" s="40"/>
      <c r="BV191" s="40"/>
      <c r="BW191" s="40">
        <v>1</v>
      </c>
      <c r="BX191" s="40"/>
      <c r="BY191" s="40"/>
      <c r="BZ191" s="40">
        <v>1</v>
      </c>
      <c r="CA191" s="40">
        <v>1</v>
      </c>
      <c r="CB191" s="40"/>
      <c r="CC191" s="40">
        <v>1</v>
      </c>
      <c r="CD191" s="40">
        <v>1</v>
      </c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>
        <v>1</v>
      </c>
      <c r="CR191" s="40">
        <v>1</v>
      </c>
      <c r="CS191" s="40"/>
      <c r="CT191" s="40"/>
      <c r="CU191" s="40"/>
      <c r="CV191" s="40"/>
      <c r="CW191" s="40"/>
      <c r="CX191" s="4"/>
      <c r="CY191" s="4">
        <f t="shared" si="3"/>
        <v>32</v>
      </c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O191" s="47"/>
      <c r="ES191" s="47"/>
    </row>
    <row r="192" spans="1:103" ht="12.75">
      <c r="A192" s="82" t="s">
        <v>217</v>
      </c>
      <c r="B192" s="115" t="s">
        <v>18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>
        <v>1</v>
      </c>
      <c r="W192" s="1"/>
      <c r="X192" s="1"/>
      <c r="Y192" s="1"/>
      <c r="Z192" s="1">
        <v>4</v>
      </c>
      <c r="AA192" s="1"/>
      <c r="AB192" s="1"/>
      <c r="AC192" s="1"/>
      <c r="AD192" s="1"/>
      <c r="AE192" s="1"/>
      <c r="AF192" s="1"/>
      <c r="AG192" s="1">
        <v>1</v>
      </c>
      <c r="AH192" s="1"/>
      <c r="AI192" s="1"/>
      <c r="AJ192" s="1"/>
      <c r="AK192" s="1">
        <v>1</v>
      </c>
      <c r="AL192" s="1"/>
      <c r="AM192" s="1"/>
      <c r="AN192" s="1">
        <v>1</v>
      </c>
      <c r="AO192" s="1"/>
      <c r="AP192" s="1">
        <v>1</v>
      </c>
      <c r="AQ192" s="1"/>
      <c r="AR192" s="1">
        <v>1</v>
      </c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>
        <v>1</v>
      </c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4">
        <f t="shared" si="3"/>
        <v>11</v>
      </c>
    </row>
    <row r="193" spans="1:143" ht="12.75">
      <c r="A193" s="71" t="s">
        <v>314</v>
      </c>
      <c r="B193" s="115" t="s">
        <v>18</v>
      </c>
      <c r="C193" s="4"/>
      <c r="D193" s="4"/>
      <c r="E193" s="4">
        <v>2</v>
      </c>
      <c r="F193" s="4"/>
      <c r="G193" s="4"/>
      <c r="H193" s="4">
        <v>2</v>
      </c>
      <c r="I193" s="4">
        <v>1</v>
      </c>
      <c r="J193" s="4"/>
      <c r="K193" s="4">
        <v>1</v>
      </c>
      <c r="L193" s="4">
        <v>1</v>
      </c>
      <c r="M193" s="4">
        <v>2</v>
      </c>
      <c r="N193" s="4"/>
      <c r="O193" s="4"/>
      <c r="P193" s="4">
        <v>2</v>
      </c>
      <c r="Q193" s="4"/>
      <c r="R193" s="4">
        <v>1</v>
      </c>
      <c r="S193" s="4">
        <v>1</v>
      </c>
      <c r="T193" s="4"/>
      <c r="U193" s="4"/>
      <c r="V193" s="4"/>
      <c r="W193" s="4">
        <v>1</v>
      </c>
      <c r="X193" s="4">
        <v>1</v>
      </c>
      <c r="Y193" s="4">
        <v>1</v>
      </c>
      <c r="Z193" s="4">
        <v>5</v>
      </c>
      <c r="AA193" s="4"/>
      <c r="AB193" s="4"/>
      <c r="AC193" s="4">
        <v>1</v>
      </c>
      <c r="AD193" s="4"/>
      <c r="AE193" s="4"/>
      <c r="AF193" s="4">
        <v>1</v>
      </c>
      <c r="AG193" s="4">
        <v>1</v>
      </c>
      <c r="AH193" s="4"/>
      <c r="AI193" s="4"/>
      <c r="AJ193" s="4"/>
      <c r="AK193" s="4">
        <v>1</v>
      </c>
      <c r="AL193" s="4"/>
      <c r="AM193" s="4"/>
      <c r="AN193" s="4">
        <v>1</v>
      </c>
      <c r="AO193" s="4"/>
      <c r="AP193" s="4">
        <v>1</v>
      </c>
      <c r="AQ193" s="4"/>
      <c r="AR193" s="4">
        <v>1</v>
      </c>
      <c r="AS193" s="4"/>
      <c r="AT193" s="4"/>
      <c r="AU193" s="4">
        <v>1</v>
      </c>
      <c r="AV193" s="4"/>
      <c r="AW193" s="4"/>
      <c r="AX193" s="4"/>
      <c r="AY193" s="4"/>
      <c r="AZ193" s="4"/>
      <c r="BA193" s="4"/>
      <c r="BB193" s="4"/>
      <c r="BC193" s="4"/>
      <c r="BD193" s="4">
        <v>1</v>
      </c>
      <c r="BE193" s="4"/>
      <c r="BF193" s="4"/>
      <c r="BG193" s="4">
        <v>1</v>
      </c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>
        <v>2</v>
      </c>
      <c r="BU193" s="4"/>
      <c r="BV193" s="4"/>
      <c r="BW193" s="4"/>
      <c r="BX193" s="4"/>
      <c r="BY193" s="4"/>
      <c r="BZ193" s="4"/>
      <c r="CA193" s="4"/>
      <c r="CB193" s="4">
        <v>1</v>
      </c>
      <c r="CC193" s="4"/>
      <c r="CD193" s="4">
        <v>1</v>
      </c>
      <c r="CE193" s="4">
        <v>1</v>
      </c>
      <c r="CF193" s="4"/>
      <c r="CG193" s="4"/>
      <c r="CH193" s="4"/>
      <c r="CI193" s="4"/>
      <c r="CJ193" s="4"/>
      <c r="CK193" s="4">
        <v>1</v>
      </c>
      <c r="CL193" s="4">
        <v>1</v>
      </c>
      <c r="CM193" s="4">
        <v>1</v>
      </c>
      <c r="CN193" s="4"/>
      <c r="CO193" s="4"/>
      <c r="CP193" s="4"/>
      <c r="CQ193" s="4"/>
      <c r="CR193" s="4">
        <v>1</v>
      </c>
      <c r="CS193" s="4"/>
      <c r="CT193" s="4"/>
      <c r="CU193" s="4"/>
      <c r="CV193" s="4"/>
      <c r="CW193" s="4"/>
      <c r="CX193" s="4"/>
      <c r="CY193" s="4">
        <f t="shared" si="3"/>
        <v>40</v>
      </c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</row>
    <row r="194" spans="1:103" ht="12.75">
      <c r="A194" s="82" t="s">
        <v>219</v>
      </c>
      <c r="B194" s="127" t="s">
        <v>18</v>
      </c>
      <c r="C194" s="1"/>
      <c r="D194" s="1"/>
      <c r="E194" s="1">
        <v>2</v>
      </c>
      <c r="F194" s="1"/>
      <c r="G194" s="1"/>
      <c r="H194" s="1"/>
      <c r="I194" s="1"/>
      <c r="J194" s="1"/>
      <c r="K194" s="1">
        <v>1</v>
      </c>
      <c r="L194" s="1"/>
      <c r="M194" s="1">
        <v>2</v>
      </c>
      <c r="N194" s="1"/>
      <c r="O194" s="1"/>
      <c r="P194" s="1"/>
      <c r="Q194" s="1"/>
      <c r="R194" s="1"/>
      <c r="S194" s="1"/>
      <c r="T194" s="1"/>
      <c r="U194" s="1"/>
      <c r="V194" s="1">
        <v>1</v>
      </c>
      <c r="W194" s="1"/>
      <c r="X194" s="1">
        <v>1</v>
      </c>
      <c r="Y194" s="1"/>
      <c r="Z194" s="1">
        <v>5</v>
      </c>
      <c r="AA194" s="1"/>
      <c r="AB194" s="1"/>
      <c r="AC194" s="1"/>
      <c r="AD194" s="1"/>
      <c r="AE194" s="1"/>
      <c r="AF194" s="1"/>
      <c r="AG194" s="1">
        <v>1</v>
      </c>
      <c r="AH194" s="1"/>
      <c r="AI194" s="1"/>
      <c r="AJ194" s="1"/>
      <c r="AK194" s="1">
        <v>1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>
        <v>1</v>
      </c>
      <c r="AV194" s="1"/>
      <c r="AW194" s="1"/>
      <c r="AX194" s="1"/>
      <c r="AY194" s="1"/>
      <c r="AZ194" s="1"/>
      <c r="BA194" s="1"/>
      <c r="BB194" s="1">
        <v>1</v>
      </c>
      <c r="BC194" s="1"/>
      <c r="BD194" s="1"/>
      <c r="BE194" s="1"/>
      <c r="BF194" s="1"/>
      <c r="BG194" s="1">
        <v>1</v>
      </c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>
        <v>1</v>
      </c>
      <c r="CK194" s="1"/>
      <c r="CL194" s="1">
        <v>1</v>
      </c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4">
        <f t="shared" si="3"/>
        <v>19</v>
      </c>
    </row>
    <row r="195" spans="1:103" ht="12.75">
      <c r="A195" s="82" t="s">
        <v>247</v>
      </c>
      <c r="B195" s="127" t="s">
        <v>18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>
        <v>1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>
        <v>1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>
        <v>1</v>
      </c>
      <c r="AY195" s="1"/>
      <c r="AZ195" s="1"/>
      <c r="BA195" s="1"/>
      <c r="BB195" s="1"/>
      <c r="BC195" s="1"/>
      <c r="BD195" s="1"/>
      <c r="BE195" s="1"/>
      <c r="BF195" s="1"/>
      <c r="BG195" s="1">
        <v>1</v>
      </c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>
        <v>1</v>
      </c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4">
        <f t="shared" si="3"/>
        <v>5</v>
      </c>
    </row>
    <row r="196" spans="1:143" ht="12.75">
      <c r="A196" s="82" t="s">
        <v>205</v>
      </c>
      <c r="B196" s="115" t="s">
        <v>18</v>
      </c>
      <c r="C196" s="4"/>
      <c r="D196" s="4"/>
      <c r="E196" s="4">
        <v>2</v>
      </c>
      <c r="F196" s="4"/>
      <c r="G196" s="4"/>
      <c r="H196" s="4">
        <v>2</v>
      </c>
      <c r="I196" s="4">
        <v>1</v>
      </c>
      <c r="J196" s="4"/>
      <c r="K196" s="4">
        <v>1</v>
      </c>
      <c r="L196" s="4"/>
      <c r="M196" s="4">
        <v>1</v>
      </c>
      <c r="N196" s="4"/>
      <c r="O196" s="4"/>
      <c r="P196" s="4">
        <v>2</v>
      </c>
      <c r="Q196" s="4"/>
      <c r="R196" s="4"/>
      <c r="S196" s="4"/>
      <c r="T196" s="4"/>
      <c r="U196" s="4"/>
      <c r="V196" s="4"/>
      <c r="W196" s="4"/>
      <c r="X196" s="4"/>
      <c r="Y196" s="4"/>
      <c r="Z196" s="4">
        <v>5</v>
      </c>
      <c r="AA196" s="4"/>
      <c r="AB196" s="4"/>
      <c r="AC196" s="4"/>
      <c r="AD196" s="4"/>
      <c r="AE196" s="4"/>
      <c r="AF196" s="4"/>
      <c r="AG196" s="4">
        <v>1</v>
      </c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>
        <v>1</v>
      </c>
      <c r="AY196" s="4"/>
      <c r="AZ196" s="4"/>
      <c r="BA196" s="4"/>
      <c r="BB196" s="4"/>
      <c r="BC196" s="4"/>
      <c r="BD196" s="4"/>
      <c r="BE196" s="4"/>
      <c r="BF196" s="4"/>
      <c r="BG196" s="4">
        <v>1</v>
      </c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>
        <v>1</v>
      </c>
      <c r="CC196" s="4"/>
      <c r="CD196" s="4"/>
      <c r="CE196" s="4">
        <v>1</v>
      </c>
      <c r="CF196" s="4"/>
      <c r="CG196" s="4"/>
      <c r="CH196" s="4"/>
      <c r="CI196" s="4"/>
      <c r="CJ196" s="4"/>
      <c r="CK196" s="4"/>
      <c r="CL196" s="4"/>
      <c r="CM196" s="4"/>
      <c r="CN196" s="4">
        <v>1</v>
      </c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>
        <f t="shared" si="3"/>
        <v>20</v>
      </c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</row>
    <row r="197" spans="1:103" ht="12.75">
      <c r="A197" s="2" t="s">
        <v>876</v>
      </c>
      <c r="B197" s="123" t="s">
        <v>21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>
        <v>1</v>
      </c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4">
        <f t="shared" si="3"/>
        <v>1</v>
      </c>
    </row>
    <row r="198" spans="1:103" ht="12.75">
      <c r="A198" s="2" t="s">
        <v>877</v>
      </c>
      <c r="B198" s="123" t="s">
        <v>21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>
        <v>1</v>
      </c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4">
        <f t="shared" si="3"/>
        <v>1</v>
      </c>
    </row>
    <row r="199" spans="1:149" ht="12.75">
      <c r="A199" s="2" t="s">
        <v>87</v>
      </c>
      <c r="B199" s="127" t="s">
        <v>18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/>
      <c r="AA199" s="4"/>
      <c r="AB199" s="4"/>
      <c r="AC199" s="4"/>
      <c r="AD199" s="4"/>
      <c r="AE199" s="4"/>
      <c r="AF199" s="4">
        <v>1</v>
      </c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>
        <v>1</v>
      </c>
      <c r="AT199" s="4"/>
      <c r="AU199" s="4"/>
      <c r="AV199" s="4"/>
      <c r="AW199" s="4">
        <v>1</v>
      </c>
      <c r="AX199" s="4"/>
      <c r="AY199" s="4"/>
      <c r="AZ199" s="4"/>
      <c r="BA199" s="4"/>
      <c r="BB199" s="4"/>
      <c r="BC199" s="4"/>
      <c r="BD199" s="4"/>
      <c r="BE199" s="4"/>
      <c r="BF199" s="4">
        <v>1</v>
      </c>
      <c r="BG199" s="4">
        <v>1</v>
      </c>
      <c r="BH199" s="4"/>
      <c r="BI199" s="4"/>
      <c r="BJ199" s="4"/>
      <c r="BK199" s="4"/>
      <c r="BL199" s="4">
        <v>1</v>
      </c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>
        <v>2</v>
      </c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>
        <f t="shared" si="3"/>
        <v>13</v>
      </c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O199" s="47"/>
      <c r="ES199" s="47"/>
    </row>
    <row r="200" spans="1:103" ht="12.75">
      <c r="A200" s="2" t="s">
        <v>878</v>
      </c>
      <c r="B200" s="123" t="s">
        <v>19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>
        <v>1</v>
      </c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4">
        <f t="shared" si="3"/>
        <v>1</v>
      </c>
    </row>
    <row r="201" spans="1:103" ht="12.75">
      <c r="A201" s="2" t="s">
        <v>98</v>
      </c>
      <c r="B201" s="127" t="s">
        <v>19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>
        <v>1</v>
      </c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1"/>
      <c r="CY201" s="4">
        <f t="shared" si="3"/>
        <v>1</v>
      </c>
    </row>
    <row r="202" spans="1:103" ht="12.75">
      <c r="A202" s="126" t="s">
        <v>837</v>
      </c>
      <c r="B202" s="123" t="s">
        <v>19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>
        <v>3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>
        <v>1</v>
      </c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>
        <v>1</v>
      </c>
      <c r="CS202" s="1"/>
      <c r="CT202" s="1"/>
      <c r="CU202" s="1"/>
      <c r="CV202" s="1"/>
      <c r="CW202" s="1"/>
      <c r="CX202" s="1"/>
      <c r="CY202" s="4">
        <f aca="true" t="shared" si="4" ref="CY202:CY210">SUM(C202:CX202)</f>
        <v>5</v>
      </c>
    </row>
    <row r="203" spans="1:103" ht="12.75">
      <c r="A203" s="2" t="s">
        <v>99</v>
      </c>
      <c r="B203" s="127" t="s">
        <v>19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>
        <v>1</v>
      </c>
      <c r="AP203" s="4"/>
      <c r="AQ203" s="4"/>
      <c r="AR203" s="4"/>
      <c r="AS203" s="4"/>
      <c r="AT203" s="4"/>
      <c r="AU203" s="4"/>
      <c r="AV203" s="4"/>
      <c r="AW203" s="4">
        <v>1</v>
      </c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1"/>
      <c r="CY203" s="4">
        <f t="shared" si="4"/>
        <v>2</v>
      </c>
    </row>
    <row r="204" spans="1:103" ht="12.75">
      <c r="A204" s="2" t="s">
        <v>100</v>
      </c>
      <c r="B204" s="127" t="s">
        <v>19</v>
      </c>
      <c r="C204" s="4"/>
      <c r="D204" s="4"/>
      <c r="E204" s="4"/>
      <c r="F204" s="4">
        <v>1</v>
      </c>
      <c r="G204" s="4">
        <v>1</v>
      </c>
      <c r="H204" s="4"/>
      <c r="I204" s="4"/>
      <c r="J204" s="4">
        <v>1</v>
      </c>
      <c r="K204" s="4"/>
      <c r="L204" s="4"/>
      <c r="M204" s="4"/>
      <c r="N204" s="4"/>
      <c r="O204" s="4"/>
      <c r="P204" s="4"/>
      <c r="Q204" s="4"/>
      <c r="R204" s="4"/>
      <c r="S204" s="4">
        <v>1</v>
      </c>
      <c r="T204" s="4"/>
      <c r="U204" s="4"/>
      <c r="V204" s="4"/>
      <c r="W204" s="4">
        <v>1</v>
      </c>
      <c r="X204" s="4"/>
      <c r="Y204" s="4"/>
      <c r="Z204" s="4">
        <v>5</v>
      </c>
      <c r="AA204" s="4"/>
      <c r="AB204" s="4"/>
      <c r="AC204" s="4"/>
      <c r="AD204" s="4"/>
      <c r="AE204" s="4"/>
      <c r="AF204" s="4"/>
      <c r="AG204" s="4"/>
      <c r="AH204" s="4">
        <v>1</v>
      </c>
      <c r="AI204" s="4">
        <v>1</v>
      </c>
      <c r="AJ204" s="4"/>
      <c r="AK204" s="4"/>
      <c r="AL204" s="4"/>
      <c r="AM204" s="4">
        <v>1</v>
      </c>
      <c r="AN204" s="4"/>
      <c r="AO204" s="4">
        <v>1</v>
      </c>
      <c r="AP204" s="4"/>
      <c r="AQ204" s="4">
        <v>1</v>
      </c>
      <c r="AR204" s="4"/>
      <c r="AS204" s="4"/>
      <c r="AT204" s="4"/>
      <c r="AU204" s="4"/>
      <c r="AV204" s="4"/>
      <c r="AW204" s="4">
        <v>1</v>
      </c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>
        <v>1</v>
      </c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>
        <v>1</v>
      </c>
      <c r="CC204" s="4"/>
      <c r="CD204" s="4">
        <v>1</v>
      </c>
      <c r="CE204" s="4">
        <v>1</v>
      </c>
      <c r="CF204" s="4">
        <v>1</v>
      </c>
      <c r="CG204" s="4"/>
      <c r="CH204" s="4"/>
      <c r="CI204" s="4"/>
      <c r="CJ204" s="4"/>
      <c r="CK204" s="4"/>
      <c r="CL204" s="4"/>
      <c r="CM204" s="4"/>
      <c r="CN204" s="4">
        <v>1</v>
      </c>
      <c r="CO204" s="4"/>
      <c r="CP204" s="4"/>
      <c r="CQ204" s="4"/>
      <c r="CR204" s="4"/>
      <c r="CS204" s="4"/>
      <c r="CT204" s="4">
        <v>1</v>
      </c>
      <c r="CU204" s="4"/>
      <c r="CV204" s="4">
        <v>1</v>
      </c>
      <c r="CW204" s="4"/>
      <c r="CX204" s="1"/>
      <c r="CY204" s="4">
        <f t="shared" si="4"/>
        <v>24</v>
      </c>
    </row>
    <row r="205" spans="1:103" ht="12.75">
      <c r="A205" s="114" t="s">
        <v>227</v>
      </c>
      <c r="B205" s="127" t="s">
        <v>17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>
        <v>1</v>
      </c>
      <c r="Y205" s="1">
        <v>1</v>
      </c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>
        <v>1</v>
      </c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>
        <v>1</v>
      </c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>
        <v>2</v>
      </c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4">
        <f t="shared" si="4"/>
        <v>6</v>
      </c>
    </row>
    <row r="206" spans="1:149" ht="12.75">
      <c r="A206" s="2" t="s">
        <v>88</v>
      </c>
      <c r="B206" s="127" t="s">
        <v>18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>
        <v>1</v>
      </c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>
        <v>1</v>
      </c>
      <c r="AP206" s="4"/>
      <c r="AQ206" s="4"/>
      <c r="AR206" s="4"/>
      <c r="AS206" s="4">
        <v>1</v>
      </c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>
        <f t="shared" si="4"/>
        <v>3</v>
      </c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O206" s="47"/>
      <c r="ES206" s="47"/>
    </row>
    <row r="207" spans="1:149" ht="12.75">
      <c r="A207" s="2" t="s">
        <v>89</v>
      </c>
      <c r="B207" s="127" t="s">
        <v>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>
        <v>1</v>
      </c>
      <c r="Y207" s="4"/>
      <c r="Z207" s="4">
        <v>1</v>
      </c>
      <c r="AA207" s="4"/>
      <c r="AB207" s="4"/>
      <c r="AC207" s="4"/>
      <c r="AD207" s="4"/>
      <c r="AE207" s="4"/>
      <c r="AF207" s="4">
        <v>1</v>
      </c>
      <c r="AG207" s="4"/>
      <c r="AH207" s="4"/>
      <c r="AI207" s="4"/>
      <c r="AJ207" s="4"/>
      <c r="AK207" s="4"/>
      <c r="AL207" s="4"/>
      <c r="AM207" s="4"/>
      <c r="AN207" s="4"/>
      <c r="AO207" s="4">
        <v>1</v>
      </c>
      <c r="AP207" s="4"/>
      <c r="AQ207" s="4"/>
      <c r="AR207" s="4"/>
      <c r="AS207" s="4">
        <v>1</v>
      </c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>
        <f t="shared" si="4"/>
        <v>5</v>
      </c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O207" s="47"/>
      <c r="ES207" s="47"/>
    </row>
    <row r="208" spans="1:149" ht="12.75">
      <c r="A208" s="2" t="s">
        <v>90</v>
      </c>
      <c r="B208" s="127" t="s">
        <v>18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>
        <v>1</v>
      </c>
      <c r="Y208" s="4"/>
      <c r="Z208" s="4">
        <v>5</v>
      </c>
      <c r="AA208" s="4"/>
      <c r="AB208" s="4"/>
      <c r="AC208" s="4"/>
      <c r="AD208" s="4"/>
      <c r="AE208" s="4"/>
      <c r="AF208" s="4">
        <v>1</v>
      </c>
      <c r="AG208" s="4">
        <v>1</v>
      </c>
      <c r="AH208" s="4"/>
      <c r="AI208" s="4"/>
      <c r="AJ208" s="4"/>
      <c r="AK208" s="4">
        <v>1</v>
      </c>
      <c r="AL208" s="4"/>
      <c r="AM208" s="4"/>
      <c r="AN208" s="4"/>
      <c r="AO208" s="4">
        <v>1</v>
      </c>
      <c r="AP208" s="4"/>
      <c r="AQ208" s="4">
        <v>1</v>
      </c>
      <c r="AR208" s="4"/>
      <c r="AS208" s="4">
        <v>1</v>
      </c>
      <c r="AT208" s="4"/>
      <c r="AU208" s="4">
        <v>1</v>
      </c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>
        <v>2</v>
      </c>
      <c r="BU208" s="4"/>
      <c r="BV208" s="4"/>
      <c r="BW208" s="4"/>
      <c r="BX208" s="4"/>
      <c r="BY208" s="4"/>
      <c r="BZ208" s="4"/>
      <c r="CA208" s="4"/>
      <c r="CB208" s="4"/>
      <c r="CC208" s="4"/>
      <c r="CD208" s="4">
        <v>1</v>
      </c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>
        <f t="shared" si="4"/>
        <v>16</v>
      </c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O208" s="47"/>
      <c r="ES208" s="47"/>
    </row>
    <row r="209" spans="1:103" ht="12.75">
      <c r="A209" s="149" t="s">
        <v>569</v>
      </c>
      <c r="B209" s="123" t="s">
        <v>21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>
        <v>1</v>
      </c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4">
        <f t="shared" si="4"/>
        <v>1</v>
      </c>
    </row>
    <row r="210" spans="1:103" ht="12.75">
      <c r="A210" s="149" t="s">
        <v>570</v>
      </c>
      <c r="B210" s="123" t="s">
        <v>21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>
        <v>1</v>
      </c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4">
        <f t="shared" si="4"/>
        <v>1</v>
      </c>
    </row>
    <row r="211" spans="1:103" ht="12.75">
      <c r="A211" s="2" t="s">
        <v>215</v>
      </c>
      <c r="B211" s="127" t="s">
        <v>18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4">
        <f aca="true" t="shared" si="5" ref="CY211:CY220">SUM(C211:CX211)</f>
        <v>0</v>
      </c>
    </row>
    <row r="212" spans="1:149" ht="12.75">
      <c r="A212" s="149" t="s">
        <v>192</v>
      </c>
      <c r="B212" s="115" t="s">
        <v>18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>
        <v>1</v>
      </c>
      <c r="X212" s="4"/>
      <c r="Y212" s="4">
        <v>1</v>
      </c>
      <c r="Z212" s="4">
        <v>5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>
        <v>1</v>
      </c>
      <c r="BG212" s="4">
        <v>1</v>
      </c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>
        <v>1</v>
      </c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>
        <f t="shared" si="5"/>
        <v>10</v>
      </c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O212" s="47"/>
      <c r="ES212" s="47"/>
    </row>
    <row r="213" spans="1:149" ht="12.75">
      <c r="A213" s="114" t="s">
        <v>193</v>
      </c>
      <c r="B213" s="115" t="s">
        <v>18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>
        <v>1</v>
      </c>
      <c r="T213" s="4">
        <v>1</v>
      </c>
      <c r="U213" s="4"/>
      <c r="V213" s="4"/>
      <c r="W213" s="4">
        <v>1</v>
      </c>
      <c r="X213" s="4">
        <v>1</v>
      </c>
      <c r="Y213" s="4"/>
      <c r="Z213" s="4">
        <v>4</v>
      </c>
      <c r="AA213" s="4"/>
      <c r="AB213" s="4"/>
      <c r="AC213" s="4">
        <v>1</v>
      </c>
      <c r="AD213" s="4"/>
      <c r="AE213" s="4"/>
      <c r="AF213" s="4"/>
      <c r="AG213" s="4"/>
      <c r="AH213" s="4">
        <v>1</v>
      </c>
      <c r="AI213" s="4">
        <v>1</v>
      </c>
      <c r="AJ213" s="4"/>
      <c r="AK213" s="4"/>
      <c r="AL213" s="4"/>
      <c r="AM213" s="4">
        <v>1</v>
      </c>
      <c r="AN213" s="4"/>
      <c r="AO213" s="4"/>
      <c r="AP213" s="4"/>
      <c r="AQ213" s="4"/>
      <c r="AR213" s="4"/>
      <c r="AS213" s="4"/>
      <c r="AT213" s="4">
        <v>3</v>
      </c>
      <c r="AU213" s="4">
        <v>1</v>
      </c>
      <c r="AV213" s="4"/>
      <c r="AW213" s="4"/>
      <c r="AX213" s="4"/>
      <c r="AY213" s="4"/>
      <c r="AZ213" s="4"/>
      <c r="BA213" s="4"/>
      <c r="BB213" s="4"/>
      <c r="BC213" s="4">
        <v>1</v>
      </c>
      <c r="BD213" s="4">
        <v>1</v>
      </c>
      <c r="BE213" s="4"/>
      <c r="BF213" s="4"/>
      <c r="BG213" s="4">
        <v>1</v>
      </c>
      <c r="BH213" s="4">
        <v>1</v>
      </c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>
        <v>1</v>
      </c>
      <c r="BZ213" s="4"/>
      <c r="CA213" s="4"/>
      <c r="CB213" s="4">
        <v>1</v>
      </c>
      <c r="CC213" s="4"/>
      <c r="CD213" s="4">
        <v>1</v>
      </c>
      <c r="CE213" s="4">
        <v>1</v>
      </c>
      <c r="CF213" s="4">
        <v>1</v>
      </c>
      <c r="CG213" s="4"/>
      <c r="CH213" s="4"/>
      <c r="CI213" s="4"/>
      <c r="CJ213" s="4"/>
      <c r="CK213" s="4"/>
      <c r="CL213" s="4"/>
      <c r="CM213" s="4"/>
      <c r="CN213" s="4">
        <v>1</v>
      </c>
      <c r="CO213" s="4"/>
      <c r="CP213" s="4"/>
      <c r="CQ213" s="4"/>
      <c r="CR213" s="4">
        <v>1</v>
      </c>
      <c r="CS213" s="4"/>
      <c r="CT213" s="4"/>
      <c r="CU213" s="4"/>
      <c r="CV213" s="4"/>
      <c r="CW213" s="4"/>
      <c r="CX213" s="4"/>
      <c r="CY213" s="4">
        <f t="shared" si="5"/>
        <v>27</v>
      </c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O213" s="47"/>
      <c r="ES213" s="47"/>
    </row>
    <row r="214" spans="1:149" ht="12.75">
      <c r="A214" s="114" t="s">
        <v>194</v>
      </c>
      <c r="B214" s="115" t="s">
        <v>18</v>
      </c>
      <c r="C214" s="4"/>
      <c r="D214" s="4"/>
      <c r="E214" s="4">
        <v>2</v>
      </c>
      <c r="F214" s="4"/>
      <c r="G214" s="4"/>
      <c r="H214" s="4"/>
      <c r="I214" s="4"/>
      <c r="J214" s="4"/>
      <c r="K214" s="4"/>
      <c r="L214" s="4"/>
      <c r="M214" s="4">
        <v>2</v>
      </c>
      <c r="N214" s="4"/>
      <c r="O214" s="4"/>
      <c r="P214" s="4"/>
      <c r="Q214" s="4"/>
      <c r="R214" s="4"/>
      <c r="S214" s="4"/>
      <c r="T214" s="4"/>
      <c r="U214" s="4"/>
      <c r="V214" s="4"/>
      <c r="W214" s="4">
        <v>1</v>
      </c>
      <c r="X214" s="4"/>
      <c r="Y214" s="4">
        <v>1</v>
      </c>
      <c r="Z214" s="4">
        <v>5</v>
      </c>
      <c r="AA214" s="4"/>
      <c r="AB214" s="4"/>
      <c r="AC214" s="4"/>
      <c r="AD214" s="4"/>
      <c r="AE214" s="4"/>
      <c r="AF214" s="4">
        <v>1</v>
      </c>
      <c r="AG214" s="4">
        <v>1</v>
      </c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>
        <v>1</v>
      </c>
      <c r="BG214" s="4">
        <v>1</v>
      </c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>
        <v>2</v>
      </c>
      <c r="BU214" s="4"/>
      <c r="BV214" s="4"/>
      <c r="BW214" s="4"/>
      <c r="BX214" s="4"/>
      <c r="BY214" s="4"/>
      <c r="BZ214" s="4"/>
      <c r="CA214" s="4"/>
      <c r="CB214" s="4">
        <v>1</v>
      </c>
      <c r="CC214" s="4"/>
      <c r="CD214" s="4">
        <v>1</v>
      </c>
      <c r="CE214" s="4">
        <v>1</v>
      </c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>
        <v>1</v>
      </c>
      <c r="CS214" s="4"/>
      <c r="CT214" s="4"/>
      <c r="CU214" s="4"/>
      <c r="CV214" s="4"/>
      <c r="CW214" s="4"/>
      <c r="CX214" s="4"/>
      <c r="CY214" s="4">
        <f t="shared" si="5"/>
        <v>21</v>
      </c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O214" s="47"/>
      <c r="ES214" s="47"/>
    </row>
    <row r="215" spans="1:103" ht="12.75">
      <c r="A215" s="2" t="s">
        <v>879</v>
      </c>
      <c r="B215" s="127" t="s">
        <v>17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>
        <v>1</v>
      </c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4">
        <f t="shared" si="5"/>
        <v>1</v>
      </c>
    </row>
    <row r="216" spans="1:103" ht="12.75">
      <c r="A216" s="149" t="s">
        <v>571</v>
      </c>
      <c r="B216" s="123" t="s">
        <v>17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>
        <v>1</v>
      </c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4">
        <f t="shared" si="5"/>
        <v>1</v>
      </c>
    </row>
    <row r="217" spans="1:149" ht="12.75">
      <c r="A217" s="2" t="s">
        <v>91</v>
      </c>
      <c r="B217" s="127" t="s">
        <v>18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>
        <f t="shared" si="5"/>
        <v>0</v>
      </c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O217" s="47"/>
      <c r="ES217" s="47"/>
    </row>
    <row r="218" spans="1:103" ht="12.75">
      <c r="A218" s="2" t="s">
        <v>62</v>
      </c>
      <c r="B218" s="127" t="s">
        <v>17</v>
      </c>
      <c r="C218" s="1"/>
      <c r="D218" s="1"/>
      <c r="E218" s="1"/>
      <c r="F218" s="1">
        <v>1</v>
      </c>
      <c r="G218" s="1"/>
      <c r="H218" s="1"/>
      <c r="I218" s="1"/>
      <c r="J218" s="1">
        <v>1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>
        <v>1</v>
      </c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>
        <v>1</v>
      </c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>
        <v>1</v>
      </c>
      <c r="BO218" s="1">
        <v>1</v>
      </c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>
        <v>1</v>
      </c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4">
        <f t="shared" si="5"/>
        <v>7</v>
      </c>
    </row>
    <row r="219" spans="1:103" ht="12.75">
      <c r="A219" s="2" t="s">
        <v>63</v>
      </c>
      <c r="B219" s="127" t="s">
        <v>17</v>
      </c>
      <c r="C219" s="1">
        <v>1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>
        <v>1</v>
      </c>
      <c r="AW219" s="1"/>
      <c r="AX219" s="1"/>
      <c r="AY219" s="1">
        <v>1</v>
      </c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4">
        <f t="shared" si="5"/>
        <v>3</v>
      </c>
    </row>
    <row r="220" spans="1:103" ht="12.75">
      <c r="A220" s="2" t="s">
        <v>261</v>
      </c>
      <c r="B220" s="127" t="s">
        <v>18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4">
        <f t="shared" si="5"/>
        <v>0</v>
      </c>
    </row>
    <row r="221" spans="3:143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</row>
    <row r="222" spans="2:103" s="110" customFormat="1" ht="12.75">
      <c r="B222" s="127">
        <f aca="true" t="shared" si="6" ref="B222:Q222">SUBTOTAL(9,B7:B220)</f>
        <v>0</v>
      </c>
      <c r="C222" s="127">
        <f>SUBTOTAL(9,C7:C220)</f>
        <v>3</v>
      </c>
      <c r="D222" s="127">
        <f>SUBTOTAL(9,D7:D220)</f>
        <v>10</v>
      </c>
      <c r="E222" s="127">
        <f t="shared" si="6"/>
        <v>28</v>
      </c>
      <c r="F222" s="127">
        <f t="shared" si="6"/>
        <v>8</v>
      </c>
      <c r="G222" s="127">
        <f t="shared" si="6"/>
        <v>5</v>
      </c>
      <c r="H222" s="127">
        <f t="shared" si="6"/>
        <v>26</v>
      </c>
      <c r="I222" s="127">
        <f t="shared" si="6"/>
        <v>12</v>
      </c>
      <c r="J222" s="127">
        <f t="shared" si="6"/>
        <v>5</v>
      </c>
      <c r="K222" s="127">
        <f t="shared" si="6"/>
        <v>14</v>
      </c>
      <c r="L222" s="127">
        <f t="shared" si="6"/>
        <v>7</v>
      </c>
      <c r="M222" s="127">
        <f t="shared" si="6"/>
        <v>23</v>
      </c>
      <c r="N222" s="127">
        <f t="shared" si="6"/>
        <v>3</v>
      </c>
      <c r="O222" s="127">
        <f t="shared" si="6"/>
        <v>1</v>
      </c>
      <c r="P222" s="127">
        <f t="shared" si="6"/>
        <v>15</v>
      </c>
      <c r="Q222" s="127">
        <f t="shared" si="6"/>
        <v>3</v>
      </c>
      <c r="R222" s="127">
        <f aca="true" t="shared" si="7" ref="R222:CX222">SUBTOTAL(9,R7:R220)</f>
        <v>2</v>
      </c>
      <c r="S222" s="127">
        <f t="shared" si="7"/>
        <v>11</v>
      </c>
      <c r="T222" s="127">
        <f t="shared" si="7"/>
        <v>5</v>
      </c>
      <c r="U222" s="127">
        <f t="shared" si="7"/>
        <v>8</v>
      </c>
      <c r="V222" s="127">
        <f t="shared" si="7"/>
        <v>22</v>
      </c>
      <c r="W222" s="127">
        <f t="shared" si="7"/>
        <v>51</v>
      </c>
      <c r="X222" s="127">
        <f t="shared" si="7"/>
        <v>44</v>
      </c>
      <c r="Y222" s="127">
        <f t="shared" si="7"/>
        <v>31</v>
      </c>
      <c r="Z222" s="127">
        <f>SUBTOTAL(9,Z7:Z220)</f>
        <v>181</v>
      </c>
      <c r="AA222" s="127">
        <f t="shared" si="7"/>
        <v>1</v>
      </c>
      <c r="AB222" s="127">
        <f t="shared" si="7"/>
        <v>13</v>
      </c>
      <c r="AC222" s="127">
        <f t="shared" si="7"/>
        <v>12</v>
      </c>
      <c r="AD222" s="127">
        <f t="shared" si="7"/>
        <v>6</v>
      </c>
      <c r="AE222" s="127">
        <f t="shared" si="7"/>
        <v>12</v>
      </c>
      <c r="AF222" s="127">
        <f t="shared" si="7"/>
        <v>33</v>
      </c>
      <c r="AG222" s="127">
        <f t="shared" si="7"/>
        <v>40</v>
      </c>
      <c r="AH222" s="127">
        <f t="shared" si="7"/>
        <v>13</v>
      </c>
      <c r="AI222" s="127">
        <f t="shared" si="7"/>
        <v>12</v>
      </c>
      <c r="AJ222" s="127">
        <f t="shared" si="7"/>
        <v>1</v>
      </c>
      <c r="AK222" s="127">
        <f t="shared" si="7"/>
        <v>28</v>
      </c>
      <c r="AL222" s="127">
        <f t="shared" si="7"/>
        <v>1</v>
      </c>
      <c r="AM222" s="127">
        <f t="shared" si="7"/>
        <v>12</v>
      </c>
      <c r="AN222" s="127">
        <f t="shared" si="7"/>
        <v>8</v>
      </c>
      <c r="AO222" s="127">
        <f t="shared" si="7"/>
        <v>33</v>
      </c>
      <c r="AP222" s="127">
        <f t="shared" si="7"/>
        <v>8</v>
      </c>
      <c r="AQ222" s="127">
        <f t="shared" si="7"/>
        <v>53</v>
      </c>
      <c r="AR222" s="127">
        <f t="shared" si="7"/>
        <v>2</v>
      </c>
      <c r="AS222" s="127">
        <f t="shared" si="7"/>
        <v>22</v>
      </c>
      <c r="AT222" s="127">
        <f t="shared" si="7"/>
        <v>18</v>
      </c>
      <c r="AU222" s="127">
        <f>SUBTOTAL(9,AU7:AU220)</f>
        <v>30</v>
      </c>
      <c r="AV222" s="127">
        <f t="shared" si="7"/>
        <v>15</v>
      </c>
      <c r="AW222" s="127">
        <f t="shared" si="7"/>
        <v>54</v>
      </c>
      <c r="AX222" s="127">
        <f>SUBTOTAL(9,AX7:AX220)</f>
        <v>26</v>
      </c>
      <c r="AY222" s="127">
        <f t="shared" si="7"/>
        <v>3</v>
      </c>
      <c r="AZ222" s="127">
        <f t="shared" si="7"/>
        <v>25</v>
      </c>
      <c r="BA222" s="127">
        <f t="shared" si="7"/>
        <v>1</v>
      </c>
      <c r="BB222" s="127">
        <f>SUBTOTAL(9,BB7:BB220)</f>
        <v>4</v>
      </c>
      <c r="BC222" s="127">
        <f>SUBTOTAL(9,BC7:BC220)</f>
        <v>11</v>
      </c>
      <c r="BD222" s="127">
        <f t="shared" si="7"/>
        <v>19</v>
      </c>
      <c r="BE222" s="127">
        <f t="shared" si="7"/>
        <v>3</v>
      </c>
      <c r="BF222" s="127">
        <f t="shared" si="7"/>
        <v>34</v>
      </c>
      <c r="BG222" s="127">
        <f t="shared" si="7"/>
        <v>57</v>
      </c>
      <c r="BH222" s="127">
        <f t="shared" si="7"/>
        <v>16</v>
      </c>
      <c r="BI222" s="127">
        <f t="shared" si="7"/>
        <v>1</v>
      </c>
      <c r="BJ222" s="127">
        <f>SUBTOTAL(9,BJ7:BJ220)</f>
        <v>2</v>
      </c>
      <c r="BK222" s="127">
        <f>SUBTOTAL(9,BK7:BK220)</f>
        <v>7</v>
      </c>
      <c r="BL222" s="127">
        <f>SUBTOTAL(9,BL7:BL220)</f>
        <v>23</v>
      </c>
      <c r="BM222" s="127">
        <f t="shared" si="7"/>
        <v>1</v>
      </c>
      <c r="BN222" s="127">
        <f t="shared" si="7"/>
        <v>3</v>
      </c>
      <c r="BO222" s="127">
        <f aca="true" t="shared" si="8" ref="BO222:CB222">SUBTOTAL(9,BO7:BO220)</f>
        <v>3</v>
      </c>
      <c r="BP222" s="127">
        <f t="shared" si="8"/>
        <v>3</v>
      </c>
      <c r="BQ222" s="127">
        <f t="shared" si="8"/>
        <v>18</v>
      </c>
      <c r="BR222" s="127">
        <f t="shared" si="8"/>
        <v>18</v>
      </c>
      <c r="BS222" s="127">
        <f t="shared" si="8"/>
        <v>32</v>
      </c>
      <c r="BT222" s="127">
        <f t="shared" si="8"/>
        <v>20</v>
      </c>
      <c r="BU222" s="127">
        <f>SUBTOTAL(9,BU7:BU220)</f>
        <v>1</v>
      </c>
      <c r="BV222" s="127">
        <f>SUBTOTAL(9,BV7:BV220)</f>
        <v>1</v>
      </c>
      <c r="BW222" s="127">
        <f t="shared" si="8"/>
        <v>4</v>
      </c>
      <c r="BX222" s="127">
        <f t="shared" si="8"/>
        <v>19</v>
      </c>
      <c r="BY222" s="127">
        <f>SUBTOTAL(9,BY7:BY220)</f>
        <v>9</v>
      </c>
      <c r="BZ222" s="127">
        <f>SUBTOTAL(9,BZ7:BZ220)</f>
        <v>10</v>
      </c>
      <c r="CA222" s="127">
        <f t="shared" si="8"/>
        <v>7</v>
      </c>
      <c r="CB222" s="127">
        <f t="shared" si="8"/>
        <v>29</v>
      </c>
      <c r="CC222" s="127">
        <f>SUBTOTAL(9,CC7:CC220)</f>
        <v>12</v>
      </c>
      <c r="CD222" s="127">
        <f>SUBTOTAL(9,CD7:CD220)</f>
        <v>84</v>
      </c>
      <c r="CE222" s="127">
        <f t="shared" si="7"/>
        <v>28</v>
      </c>
      <c r="CF222" s="127">
        <f aca="true" t="shared" si="9" ref="CF222:CV222">SUBTOTAL(9,CF7:CF220)</f>
        <v>12</v>
      </c>
      <c r="CG222" s="127">
        <f t="shared" si="9"/>
        <v>1</v>
      </c>
      <c r="CH222" s="127">
        <f>SUBTOTAL(9,CH7:CH220)</f>
        <v>3</v>
      </c>
      <c r="CI222" s="127">
        <f t="shared" si="9"/>
        <v>3</v>
      </c>
      <c r="CJ222" s="127">
        <f t="shared" si="9"/>
        <v>20</v>
      </c>
      <c r="CK222" s="127">
        <f>SUBTOTAL(9,CK7:CK220)</f>
        <v>10</v>
      </c>
      <c r="CL222" s="127">
        <f t="shared" si="9"/>
        <v>11</v>
      </c>
      <c r="CM222" s="127">
        <f t="shared" si="9"/>
        <v>10</v>
      </c>
      <c r="CN222" s="127">
        <f t="shared" si="9"/>
        <v>17</v>
      </c>
      <c r="CO222" s="127">
        <f>SUBTOTAL(9,CO7:CO220)</f>
        <v>2</v>
      </c>
      <c r="CP222" s="127">
        <f t="shared" si="9"/>
        <v>5</v>
      </c>
      <c r="CQ222" s="127">
        <f t="shared" si="9"/>
        <v>2</v>
      </c>
      <c r="CR222" s="127">
        <f t="shared" si="9"/>
        <v>42</v>
      </c>
      <c r="CS222" s="127">
        <f t="shared" si="9"/>
        <v>3</v>
      </c>
      <c r="CT222" s="127">
        <f t="shared" si="9"/>
        <v>11</v>
      </c>
      <c r="CU222" s="127">
        <f t="shared" si="9"/>
        <v>1</v>
      </c>
      <c r="CV222" s="127">
        <f t="shared" si="9"/>
        <v>5</v>
      </c>
      <c r="CW222" s="127">
        <f t="shared" si="7"/>
        <v>1</v>
      </c>
      <c r="CX222" s="127">
        <f t="shared" si="7"/>
        <v>0</v>
      </c>
      <c r="CY222" s="127">
        <f>SUBTOTAL(9,CY5:CY220)</f>
        <v>1638</v>
      </c>
    </row>
    <row r="223" spans="3:10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4"/>
    </row>
    <row r="224" spans="2:103" s="149" customFormat="1" ht="12.75">
      <c r="B224" s="188">
        <f>SUM(CX224:CX224)</f>
        <v>0</v>
      </c>
      <c r="C224" s="188">
        <f>SUM(C7:C220)</f>
        <v>3</v>
      </c>
      <c r="D224" s="188">
        <f>SUM(D7:D220)</f>
        <v>10</v>
      </c>
      <c r="E224" s="188">
        <f aca="true" t="shared" si="10" ref="E224:Q224">SUM(E7:E220)</f>
        <v>28</v>
      </c>
      <c r="F224" s="188">
        <f t="shared" si="10"/>
        <v>8</v>
      </c>
      <c r="G224" s="188">
        <f t="shared" si="10"/>
        <v>5</v>
      </c>
      <c r="H224" s="188">
        <f t="shared" si="10"/>
        <v>26</v>
      </c>
      <c r="I224" s="188">
        <f t="shared" si="10"/>
        <v>12</v>
      </c>
      <c r="J224" s="188">
        <f t="shared" si="10"/>
        <v>5</v>
      </c>
      <c r="K224" s="188">
        <f t="shared" si="10"/>
        <v>14</v>
      </c>
      <c r="L224" s="188">
        <f t="shared" si="10"/>
        <v>7</v>
      </c>
      <c r="M224" s="188">
        <f t="shared" si="10"/>
        <v>23</v>
      </c>
      <c r="N224" s="188">
        <f t="shared" si="10"/>
        <v>3</v>
      </c>
      <c r="O224" s="188">
        <f t="shared" si="10"/>
        <v>1</v>
      </c>
      <c r="P224" s="188">
        <f t="shared" si="10"/>
        <v>15</v>
      </c>
      <c r="Q224" s="188">
        <f t="shared" si="10"/>
        <v>3</v>
      </c>
      <c r="R224" s="188">
        <f aca="true" t="shared" si="11" ref="R224:CX224">SUM(R7:R220)</f>
        <v>2</v>
      </c>
      <c r="S224" s="188">
        <f t="shared" si="11"/>
        <v>11</v>
      </c>
      <c r="T224" s="188">
        <f t="shared" si="11"/>
        <v>5</v>
      </c>
      <c r="U224" s="188">
        <f t="shared" si="11"/>
        <v>8</v>
      </c>
      <c r="V224" s="188">
        <f t="shared" si="11"/>
        <v>22</v>
      </c>
      <c r="W224" s="188">
        <f t="shared" si="11"/>
        <v>51</v>
      </c>
      <c r="X224" s="188">
        <f t="shared" si="11"/>
        <v>44</v>
      </c>
      <c r="Y224" s="188">
        <f t="shared" si="11"/>
        <v>31</v>
      </c>
      <c r="Z224" s="188">
        <f>SUM(Z7:Z220)</f>
        <v>181</v>
      </c>
      <c r="AA224" s="188">
        <f t="shared" si="11"/>
        <v>1</v>
      </c>
      <c r="AB224" s="188">
        <f t="shared" si="11"/>
        <v>13</v>
      </c>
      <c r="AC224" s="188">
        <f t="shared" si="11"/>
        <v>12</v>
      </c>
      <c r="AD224" s="188">
        <f t="shared" si="11"/>
        <v>6</v>
      </c>
      <c r="AE224" s="188">
        <f t="shared" si="11"/>
        <v>12</v>
      </c>
      <c r="AF224" s="188">
        <f t="shared" si="11"/>
        <v>33</v>
      </c>
      <c r="AG224" s="188">
        <f t="shared" si="11"/>
        <v>40</v>
      </c>
      <c r="AH224" s="188">
        <f t="shared" si="11"/>
        <v>13</v>
      </c>
      <c r="AI224" s="188">
        <f t="shared" si="11"/>
        <v>12</v>
      </c>
      <c r="AJ224" s="188">
        <f t="shared" si="11"/>
        <v>1</v>
      </c>
      <c r="AK224" s="188">
        <f t="shared" si="11"/>
        <v>28</v>
      </c>
      <c r="AL224" s="188">
        <f t="shared" si="11"/>
        <v>1</v>
      </c>
      <c r="AM224" s="188">
        <f t="shared" si="11"/>
        <v>12</v>
      </c>
      <c r="AN224" s="188">
        <f t="shared" si="11"/>
        <v>8</v>
      </c>
      <c r="AO224" s="188">
        <f t="shared" si="11"/>
        <v>33</v>
      </c>
      <c r="AP224" s="188">
        <f t="shared" si="11"/>
        <v>8</v>
      </c>
      <c r="AQ224" s="188">
        <f t="shared" si="11"/>
        <v>53</v>
      </c>
      <c r="AR224" s="188">
        <f t="shared" si="11"/>
        <v>2</v>
      </c>
      <c r="AS224" s="188">
        <f t="shared" si="11"/>
        <v>22</v>
      </c>
      <c r="AT224" s="188">
        <f t="shared" si="11"/>
        <v>18</v>
      </c>
      <c r="AU224" s="188">
        <f>SUM(AU7:AU220)</f>
        <v>30</v>
      </c>
      <c r="AV224" s="188">
        <f t="shared" si="11"/>
        <v>15</v>
      </c>
      <c r="AW224" s="262">
        <f t="shared" si="11"/>
        <v>54</v>
      </c>
      <c r="AX224" s="188">
        <f>SUM(AX7:AX220)</f>
        <v>26</v>
      </c>
      <c r="AY224" s="188">
        <f t="shared" si="11"/>
        <v>3</v>
      </c>
      <c r="AZ224" s="188">
        <f t="shared" si="11"/>
        <v>25</v>
      </c>
      <c r="BA224" s="188">
        <f t="shared" si="11"/>
        <v>1</v>
      </c>
      <c r="BB224" s="188">
        <f>SUM(BB7:BB220)</f>
        <v>4</v>
      </c>
      <c r="BC224" s="188">
        <f>SUM(BC7:BC220)</f>
        <v>11</v>
      </c>
      <c r="BD224" s="188">
        <f t="shared" si="11"/>
        <v>19</v>
      </c>
      <c r="BE224" s="188">
        <f t="shared" si="11"/>
        <v>3</v>
      </c>
      <c r="BF224" s="188">
        <f t="shared" si="11"/>
        <v>34</v>
      </c>
      <c r="BG224" s="188">
        <f t="shared" si="11"/>
        <v>57</v>
      </c>
      <c r="BH224" s="188">
        <f t="shared" si="11"/>
        <v>16</v>
      </c>
      <c r="BI224" s="188">
        <f t="shared" si="11"/>
        <v>1</v>
      </c>
      <c r="BJ224" s="188">
        <f>SUM(BJ7:BJ220)</f>
        <v>2</v>
      </c>
      <c r="BK224" s="188">
        <f>SUM(BK7:BK220)</f>
        <v>7</v>
      </c>
      <c r="BL224" s="188">
        <f>SUM(BL7:BL220)</f>
        <v>23</v>
      </c>
      <c r="BM224" s="188">
        <f t="shared" si="11"/>
        <v>1</v>
      </c>
      <c r="BN224" s="188">
        <f t="shared" si="11"/>
        <v>3</v>
      </c>
      <c r="BO224" s="188">
        <f aca="true" t="shared" si="12" ref="BO224:CB224">SUM(BO7:BO220)</f>
        <v>3</v>
      </c>
      <c r="BP224" s="188">
        <f t="shared" si="12"/>
        <v>3</v>
      </c>
      <c r="BQ224" s="188">
        <f t="shared" si="12"/>
        <v>18</v>
      </c>
      <c r="BR224" s="188">
        <f t="shared" si="12"/>
        <v>18</v>
      </c>
      <c r="BS224" s="188">
        <f t="shared" si="12"/>
        <v>32</v>
      </c>
      <c r="BT224" s="188">
        <f t="shared" si="12"/>
        <v>20</v>
      </c>
      <c r="BU224" s="188">
        <f>SUM(BU7:BU220)</f>
        <v>1</v>
      </c>
      <c r="BV224" s="188">
        <f>SUM(BV7:BV220)</f>
        <v>1</v>
      </c>
      <c r="BW224" s="188">
        <f t="shared" si="12"/>
        <v>4</v>
      </c>
      <c r="BX224" s="188">
        <f t="shared" si="12"/>
        <v>19</v>
      </c>
      <c r="BY224" s="188">
        <f>SUM(BY7:BY220)</f>
        <v>9</v>
      </c>
      <c r="BZ224" s="188">
        <f>SUM(BZ7:BZ220)</f>
        <v>10</v>
      </c>
      <c r="CA224" s="188">
        <f t="shared" si="12"/>
        <v>7</v>
      </c>
      <c r="CB224" s="188">
        <f t="shared" si="12"/>
        <v>29</v>
      </c>
      <c r="CC224" s="188">
        <f>SUM(CC7:CC220)</f>
        <v>12</v>
      </c>
      <c r="CD224" s="188">
        <f>SUM(CD7:CD220)</f>
        <v>84</v>
      </c>
      <c r="CE224" s="188">
        <f t="shared" si="11"/>
        <v>28</v>
      </c>
      <c r="CF224" s="188">
        <f aca="true" t="shared" si="13" ref="CF224:CV224">SUM(CF7:CF220)</f>
        <v>12</v>
      </c>
      <c r="CG224" s="188">
        <f t="shared" si="13"/>
        <v>1</v>
      </c>
      <c r="CH224" s="188">
        <f>SUM(CH7:CH220)</f>
        <v>3</v>
      </c>
      <c r="CI224" s="188">
        <f t="shared" si="13"/>
        <v>3</v>
      </c>
      <c r="CJ224" s="188">
        <f t="shared" si="13"/>
        <v>20</v>
      </c>
      <c r="CK224" s="188">
        <f>SUM(CK7:CK220)</f>
        <v>10</v>
      </c>
      <c r="CL224" s="188">
        <f t="shared" si="13"/>
        <v>11</v>
      </c>
      <c r="CM224" s="188">
        <f t="shared" si="13"/>
        <v>10</v>
      </c>
      <c r="CN224" s="188">
        <f t="shared" si="13"/>
        <v>17</v>
      </c>
      <c r="CO224" s="188">
        <f>SUM(CO7:CO220)</f>
        <v>2</v>
      </c>
      <c r="CP224" s="188">
        <f t="shared" si="13"/>
        <v>5</v>
      </c>
      <c r="CQ224" s="188">
        <f t="shared" si="13"/>
        <v>2</v>
      </c>
      <c r="CR224" s="188">
        <f t="shared" si="13"/>
        <v>42</v>
      </c>
      <c r="CS224" s="188">
        <f t="shared" si="13"/>
        <v>3</v>
      </c>
      <c r="CT224" s="188">
        <f t="shared" si="13"/>
        <v>11</v>
      </c>
      <c r="CU224" s="188">
        <f t="shared" si="13"/>
        <v>1</v>
      </c>
      <c r="CV224" s="188">
        <f t="shared" si="13"/>
        <v>5</v>
      </c>
      <c r="CW224" s="188">
        <f t="shared" si="11"/>
        <v>1</v>
      </c>
      <c r="CX224" s="188">
        <f t="shared" si="11"/>
        <v>0</v>
      </c>
      <c r="CY224" s="188">
        <f>SUM(CY5:CY220)</f>
        <v>1638</v>
      </c>
    </row>
    <row r="225" spans="2:103" s="110" customFormat="1" ht="12.75"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1"/>
      <c r="BZ225" s="131"/>
      <c r="CA225" s="131"/>
      <c r="CB225" s="131"/>
      <c r="CC225" s="131"/>
      <c r="CD225" s="131"/>
      <c r="CE225" s="131"/>
      <c r="CF225" s="131"/>
      <c r="CG225" s="131"/>
      <c r="CH225" s="131"/>
      <c r="CI225" s="131"/>
      <c r="CJ225" s="131"/>
      <c r="CK225" s="131"/>
      <c r="CL225" s="131"/>
      <c r="CM225" s="131"/>
      <c r="CN225" s="131"/>
      <c r="CO225" s="131"/>
      <c r="CP225" s="131"/>
      <c r="CQ225" s="131"/>
      <c r="CR225" s="131"/>
      <c r="CS225" s="131"/>
      <c r="CT225" s="131"/>
      <c r="CU225" s="131"/>
      <c r="CV225" s="131"/>
      <c r="CW225" s="131"/>
      <c r="CX225" s="131"/>
      <c r="CY225" s="131"/>
    </row>
    <row r="226" spans="1:103" s="110" customFormat="1" ht="12.75">
      <c r="A226" s="181" t="s">
        <v>241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1"/>
      <c r="CP226" s="131"/>
      <c r="CQ226" s="131"/>
      <c r="CR226" s="131"/>
      <c r="CS226" s="131"/>
      <c r="CT226" s="131"/>
      <c r="CU226" s="131"/>
      <c r="CV226" s="131"/>
      <c r="CW226" s="131"/>
      <c r="CX226" s="131"/>
      <c r="CY226" s="131"/>
    </row>
    <row r="227" spans="1:103" s="110" customFormat="1" ht="12.75">
      <c r="A227" s="183" t="s">
        <v>243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1"/>
      <c r="BZ227" s="131"/>
      <c r="CA227" s="131"/>
      <c r="CB227" s="131"/>
      <c r="CC227" s="131"/>
      <c r="CD227" s="131"/>
      <c r="CE227" s="131"/>
      <c r="CF227" s="131"/>
      <c r="CG227" s="131"/>
      <c r="CH227" s="131"/>
      <c r="CI227" s="131"/>
      <c r="CJ227" s="131"/>
      <c r="CK227" s="131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</row>
    <row r="228" spans="1:102" ht="12.75">
      <c r="A228" s="182" t="s">
        <v>242</v>
      </c>
      <c r="B228" s="13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spans="2:101" ht="12.75">
      <c r="B229" s="127" t="s">
        <v>142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</row>
    <row r="230" spans="2:101" ht="12.75">
      <c r="B230" s="127" t="s">
        <v>143</v>
      </c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86"/>
      <c r="CO230" s="186"/>
      <c r="CP230" s="186"/>
      <c r="CQ230" s="186"/>
      <c r="CR230" s="186"/>
      <c r="CS230" s="186"/>
      <c r="CT230" s="186"/>
      <c r="CU230" s="186"/>
      <c r="CV230" s="186"/>
      <c r="CW230" s="186"/>
    </row>
    <row r="231" spans="1:101" ht="12.75">
      <c r="A231" s="2" t="s">
        <v>137</v>
      </c>
      <c r="B231" s="127">
        <v>86</v>
      </c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  <c r="CE231" s="186"/>
      <c r="CF231" s="186"/>
      <c r="CG231" s="186"/>
      <c r="CH231" s="186"/>
      <c r="CI231" s="186"/>
      <c r="CJ231" s="186"/>
      <c r="CK231" s="186"/>
      <c r="CL231" s="186"/>
      <c r="CM231" s="186"/>
      <c r="CN231" s="186"/>
      <c r="CO231" s="186"/>
      <c r="CP231" s="186"/>
      <c r="CQ231" s="186"/>
      <c r="CR231" s="186"/>
      <c r="CS231" s="186"/>
      <c r="CT231" s="186"/>
      <c r="CU231" s="186"/>
      <c r="CV231" s="186"/>
      <c r="CW231" s="186"/>
    </row>
    <row r="232" spans="1:101" ht="12.75">
      <c r="A232" s="2" t="s">
        <v>152</v>
      </c>
      <c r="B232" s="127">
        <v>134</v>
      </c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</row>
    <row r="233" spans="1:101" ht="12.75">
      <c r="A233" s="2" t="s">
        <v>138</v>
      </c>
      <c r="B233" s="127">
        <v>851</v>
      </c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  <c r="CW233" s="129"/>
    </row>
    <row r="234" spans="1:101" ht="12.75">
      <c r="A234" s="2" t="s">
        <v>139</v>
      </c>
      <c r="B234" s="127">
        <v>49</v>
      </c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  <c r="CW234" s="129"/>
    </row>
    <row r="235" spans="1:101" ht="12.75">
      <c r="A235" s="2" t="s">
        <v>140</v>
      </c>
      <c r="B235" s="127">
        <v>72</v>
      </c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</row>
    <row r="236" spans="1:101" ht="12.75">
      <c r="A236" s="2" t="s">
        <v>141</v>
      </c>
      <c r="B236" s="127">
        <v>446</v>
      </c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</row>
    <row r="237" spans="2:101" ht="12.75">
      <c r="B237" s="127">
        <f>SUBTOTAL(9,B231:B236)</f>
        <v>1638</v>
      </c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186"/>
      <c r="CG237" s="186"/>
      <c r="CH237" s="186"/>
      <c r="CI237" s="186"/>
      <c r="CJ237" s="186"/>
      <c r="CK237" s="186"/>
      <c r="CL237" s="186"/>
      <c r="CM237" s="186"/>
      <c r="CN237" s="186"/>
      <c r="CO237" s="186"/>
      <c r="CP237" s="186"/>
      <c r="CQ237" s="186"/>
      <c r="CR237" s="186"/>
      <c r="CS237" s="186"/>
      <c r="CT237" s="186"/>
      <c r="CU237" s="186"/>
      <c r="CV237" s="186"/>
      <c r="CW237" s="186"/>
    </row>
    <row r="238" spans="2:103" s="124" customFormat="1" ht="12.75">
      <c r="B238" s="130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Y238" s="125"/>
    </row>
    <row r="239" spans="3:101" ht="12.75"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  <c r="BJ239" s="196"/>
      <c r="BK239" s="196"/>
      <c r="BL239" s="196"/>
      <c r="BM239" s="196"/>
      <c r="BN239" s="196"/>
      <c r="BO239" s="196"/>
      <c r="BP239" s="196"/>
      <c r="BQ239" s="196"/>
      <c r="BR239" s="196"/>
      <c r="BS239" s="196"/>
      <c r="BT239" s="196"/>
      <c r="BU239" s="196"/>
      <c r="BV239" s="196"/>
      <c r="BW239" s="196"/>
      <c r="BX239" s="196"/>
      <c r="BY239" s="196"/>
      <c r="BZ239" s="196"/>
      <c r="CA239" s="196"/>
      <c r="CB239" s="196"/>
      <c r="CC239" s="196"/>
      <c r="CD239" s="196"/>
      <c r="CE239" s="196"/>
      <c r="CF239" s="196"/>
      <c r="CG239" s="196"/>
      <c r="CH239" s="196"/>
      <c r="CI239" s="196"/>
      <c r="CJ239" s="196"/>
      <c r="CK239" s="196"/>
      <c r="CL239" s="196"/>
      <c r="CM239" s="196"/>
      <c r="CN239" s="196"/>
      <c r="CO239" s="196"/>
      <c r="CP239" s="196"/>
      <c r="CQ239" s="196"/>
      <c r="CR239" s="196"/>
      <c r="CS239" s="196"/>
      <c r="CT239" s="196"/>
      <c r="CU239" s="196"/>
      <c r="CV239" s="196"/>
      <c r="CW239" s="196"/>
    </row>
    <row r="240" spans="2:103" ht="12.75">
      <c r="B240" s="168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6"/>
      <c r="BH240" s="196"/>
      <c r="BI240" s="196"/>
      <c r="BJ240" s="196"/>
      <c r="BK240" s="196"/>
      <c r="BL240" s="196"/>
      <c r="BM240" s="196"/>
      <c r="BN240" s="196"/>
      <c r="BO240" s="196"/>
      <c r="BP240" s="196"/>
      <c r="BQ240" s="196"/>
      <c r="BR240" s="196"/>
      <c r="BS240" s="196"/>
      <c r="BT240" s="196"/>
      <c r="BU240" s="196"/>
      <c r="BV240" s="196"/>
      <c r="BW240" s="196"/>
      <c r="BX240" s="196"/>
      <c r="BY240" s="196"/>
      <c r="BZ240" s="196"/>
      <c r="CA240" s="196"/>
      <c r="CB240" s="196"/>
      <c r="CC240" s="196"/>
      <c r="CD240" s="196"/>
      <c r="CE240" s="196"/>
      <c r="CF240" s="196"/>
      <c r="CG240" s="196"/>
      <c r="CH240" s="196"/>
      <c r="CI240" s="196"/>
      <c r="CJ240" s="196"/>
      <c r="CK240" s="196"/>
      <c r="CL240" s="196"/>
      <c r="CM240" s="196"/>
      <c r="CN240" s="196"/>
      <c r="CO240" s="196"/>
      <c r="CP240" s="196"/>
      <c r="CQ240" s="196"/>
      <c r="CR240" s="196"/>
      <c r="CS240" s="196"/>
      <c r="CT240" s="196"/>
      <c r="CU240" s="196"/>
      <c r="CV240" s="196"/>
      <c r="CW240" s="196"/>
      <c r="CY240" s="47"/>
    </row>
    <row r="241" spans="2:101" ht="12.75">
      <c r="B241" s="16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</row>
    <row r="242" spans="1:103" s="281" customFormat="1" ht="12.75">
      <c r="A242" s="281" t="s">
        <v>888</v>
      </c>
      <c r="B242" s="282" t="s">
        <v>248</v>
      </c>
      <c r="C242" s="283"/>
      <c r="D242" s="283"/>
      <c r="E242" s="283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83"/>
      <c r="AT242" s="283"/>
      <c r="AU242" s="283"/>
      <c r="AV242" s="283"/>
      <c r="AW242" s="283"/>
      <c r="AX242" s="283"/>
      <c r="AY242" s="283"/>
      <c r="AZ242" s="283"/>
      <c r="BA242" s="283"/>
      <c r="BB242" s="283"/>
      <c r="BC242" s="283"/>
      <c r="BD242" s="283"/>
      <c r="BE242" s="283"/>
      <c r="BF242" s="283"/>
      <c r="BG242" s="283"/>
      <c r="BH242" s="283"/>
      <c r="BI242" s="283"/>
      <c r="BJ242" s="283"/>
      <c r="BK242" s="283"/>
      <c r="BL242" s="283"/>
      <c r="BM242" s="283"/>
      <c r="BN242" s="283"/>
      <c r="BO242" s="283"/>
      <c r="BP242" s="283"/>
      <c r="BQ242" s="283"/>
      <c r="BR242" s="283"/>
      <c r="BS242" s="283"/>
      <c r="BT242" s="283"/>
      <c r="BU242" s="283"/>
      <c r="BV242" s="283"/>
      <c r="BW242" s="283"/>
      <c r="BX242" s="283"/>
      <c r="BY242" s="283"/>
      <c r="BZ242" s="283"/>
      <c r="CA242" s="283"/>
      <c r="CB242" s="283"/>
      <c r="CC242" s="283"/>
      <c r="CD242" s="283">
        <v>1</v>
      </c>
      <c r="CE242" s="283"/>
      <c r="CF242" s="283"/>
      <c r="CG242" s="283"/>
      <c r="CH242" s="283"/>
      <c r="CI242" s="283"/>
      <c r="CJ242" s="283"/>
      <c r="CK242" s="283"/>
      <c r="CL242" s="283"/>
      <c r="CM242" s="283"/>
      <c r="CN242" s="283"/>
      <c r="CO242" s="283"/>
      <c r="CP242" s="283"/>
      <c r="CQ242" s="283"/>
      <c r="CR242" s="283"/>
      <c r="CS242" s="283"/>
      <c r="CT242" s="283"/>
      <c r="CU242" s="283"/>
      <c r="CV242" s="283"/>
      <c r="CW242" s="283"/>
      <c r="CX242" s="282"/>
      <c r="CY242" s="283">
        <f>SUM(C242:CX242)</f>
        <v>1</v>
      </c>
    </row>
    <row r="243" spans="1:103" s="281" customFormat="1" ht="12.75">
      <c r="A243" s="259" t="s">
        <v>543</v>
      </c>
      <c r="B243" s="282" t="s">
        <v>248</v>
      </c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2"/>
      <c r="AD243" s="282"/>
      <c r="AE243" s="282"/>
      <c r="AF243" s="282"/>
      <c r="AG243" s="282"/>
      <c r="AH243" s="282"/>
      <c r="AI243" s="282"/>
      <c r="AJ243" s="282"/>
      <c r="AK243" s="282"/>
      <c r="AL243" s="282"/>
      <c r="AM243" s="282"/>
      <c r="AN243" s="282"/>
      <c r="AO243" s="282"/>
      <c r="AP243" s="282"/>
      <c r="AQ243" s="282"/>
      <c r="AR243" s="282"/>
      <c r="AS243" s="282"/>
      <c r="AT243" s="282"/>
      <c r="AU243" s="282"/>
      <c r="AV243" s="282"/>
      <c r="AW243" s="282">
        <v>1</v>
      </c>
      <c r="AX243" s="282"/>
      <c r="AY243" s="282"/>
      <c r="AZ243" s="282"/>
      <c r="BA243" s="282"/>
      <c r="BB243" s="282"/>
      <c r="BC243" s="282"/>
      <c r="BD243" s="282"/>
      <c r="BE243" s="282"/>
      <c r="BF243" s="282"/>
      <c r="BG243" s="282"/>
      <c r="BH243" s="282"/>
      <c r="BI243" s="282"/>
      <c r="BJ243" s="282"/>
      <c r="BK243" s="282"/>
      <c r="BL243" s="282"/>
      <c r="BM243" s="282"/>
      <c r="BN243" s="282"/>
      <c r="BO243" s="282"/>
      <c r="BP243" s="282"/>
      <c r="BQ243" s="282"/>
      <c r="BR243" s="282"/>
      <c r="BS243" s="282"/>
      <c r="BT243" s="282"/>
      <c r="BU243" s="282"/>
      <c r="BV243" s="282"/>
      <c r="BW243" s="282"/>
      <c r="BX243" s="282"/>
      <c r="BY243" s="282"/>
      <c r="BZ243" s="282"/>
      <c r="CA243" s="282"/>
      <c r="CB243" s="282"/>
      <c r="CC243" s="282"/>
      <c r="CD243" s="282"/>
      <c r="CE243" s="282"/>
      <c r="CF243" s="282"/>
      <c r="CG243" s="282"/>
      <c r="CH243" s="282"/>
      <c r="CI243" s="282"/>
      <c r="CJ243" s="282"/>
      <c r="CK243" s="282"/>
      <c r="CL243" s="282"/>
      <c r="CM243" s="282"/>
      <c r="CN243" s="282"/>
      <c r="CO243" s="282"/>
      <c r="CP243" s="282"/>
      <c r="CQ243" s="282"/>
      <c r="CR243" s="282"/>
      <c r="CS243" s="282"/>
      <c r="CT243" s="282"/>
      <c r="CU243" s="282"/>
      <c r="CV243" s="282"/>
      <c r="CW243" s="282"/>
      <c r="CX243" s="282"/>
      <c r="CY243" s="283">
        <f>SUM(C243:CX243)</f>
        <v>1</v>
      </c>
    </row>
    <row r="244" spans="1:103" s="281" customFormat="1" ht="12.75">
      <c r="A244" s="259" t="s">
        <v>562</v>
      </c>
      <c r="B244" s="282" t="s">
        <v>248</v>
      </c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  <c r="AL244" s="282"/>
      <c r="AM244" s="282"/>
      <c r="AN244" s="282"/>
      <c r="AO244" s="282"/>
      <c r="AP244" s="282"/>
      <c r="AQ244" s="282"/>
      <c r="AR244" s="282"/>
      <c r="AS244" s="282"/>
      <c r="AT244" s="282"/>
      <c r="AU244" s="282"/>
      <c r="AV244" s="282"/>
      <c r="AW244" s="282">
        <v>1</v>
      </c>
      <c r="AX244" s="282"/>
      <c r="AY244" s="282"/>
      <c r="AZ244" s="282"/>
      <c r="BA244" s="282"/>
      <c r="BB244" s="282"/>
      <c r="BC244" s="282"/>
      <c r="BD244" s="282"/>
      <c r="BE244" s="282"/>
      <c r="BF244" s="282"/>
      <c r="BG244" s="282"/>
      <c r="BH244" s="282"/>
      <c r="BI244" s="282"/>
      <c r="BJ244" s="282"/>
      <c r="BK244" s="282"/>
      <c r="BL244" s="282"/>
      <c r="BM244" s="282"/>
      <c r="BN244" s="282"/>
      <c r="BO244" s="282"/>
      <c r="BP244" s="282"/>
      <c r="BQ244" s="282"/>
      <c r="BR244" s="282"/>
      <c r="BS244" s="282"/>
      <c r="BT244" s="282"/>
      <c r="BU244" s="282"/>
      <c r="BV244" s="282"/>
      <c r="BW244" s="282"/>
      <c r="BX244" s="282"/>
      <c r="BY244" s="282"/>
      <c r="BZ244" s="282"/>
      <c r="CA244" s="282"/>
      <c r="CB244" s="282"/>
      <c r="CC244" s="282"/>
      <c r="CD244" s="282"/>
      <c r="CE244" s="282"/>
      <c r="CF244" s="282"/>
      <c r="CG244" s="282"/>
      <c r="CH244" s="282"/>
      <c r="CI244" s="282"/>
      <c r="CJ244" s="282"/>
      <c r="CK244" s="282"/>
      <c r="CL244" s="282"/>
      <c r="CM244" s="282"/>
      <c r="CN244" s="282"/>
      <c r="CO244" s="282"/>
      <c r="CP244" s="282"/>
      <c r="CQ244" s="282"/>
      <c r="CR244" s="282"/>
      <c r="CS244" s="282"/>
      <c r="CT244" s="282"/>
      <c r="CU244" s="282"/>
      <c r="CV244" s="282"/>
      <c r="CW244" s="282"/>
      <c r="CX244" s="282"/>
      <c r="CY244" s="283">
        <f>SUM(C244:CX244)</f>
        <v>1</v>
      </c>
    </row>
    <row r="245" spans="3:101" ht="12.75"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</row>
    <row r="246" spans="3:101" ht="12.75"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</row>
    <row r="247" spans="3:101" ht="12.75"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  <c r="CW247" s="129"/>
    </row>
    <row r="248" spans="3:101" ht="12.75"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  <c r="CW248" s="129"/>
    </row>
    <row r="249" spans="3:101" ht="12.75"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6"/>
      <c r="BW249" s="186"/>
      <c r="BX249" s="186"/>
      <c r="BY249" s="186"/>
      <c r="BZ249" s="186"/>
      <c r="CA249" s="186"/>
      <c r="CB249" s="186"/>
      <c r="CC249" s="186"/>
      <c r="CD249" s="186"/>
      <c r="CE249" s="186"/>
      <c r="CF249" s="186"/>
      <c r="CG249" s="186"/>
      <c r="CH249" s="186"/>
      <c r="CI249" s="186"/>
      <c r="CJ249" s="186"/>
      <c r="CK249" s="186"/>
      <c r="CL249" s="186"/>
      <c r="CM249" s="186"/>
      <c r="CN249" s="186"/>
      <c r="CO249" s="186"/>
      <c r="CP249" s="186"/>
      <c r="CQ249" s="186"/>
      <c r="CR249" s="186"/>
      <c r="CS249" s="186"/>
      <c r="CT249" s="186"/>
      <c r="CU249" s="186"/>
      <c r="CV249" s="186"/>
      <c r="CW249" s="186"/>
    </row>
    <row r="250" spans="3:101" ht="12.75"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</row>
    <row r="251" spans="3:101" ht="12.75"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</row>
    <row r="252" spans="3:101" ht="12.75"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68"/>
      <c r="BH252" s="168"/>
      <c r="BI252" s="168"/>
      <c r="BJ252" s="168"/>
      <c r="BK252" s="168"/>
      <c r="BL252" s="168"/>
      <c r="BM252" s="168"/>
      <c r="BN252" s="168"/>
      <c r="BO252" s="168"/>
      <c r="BP252" s="168"/>
      <c r="BQ252" s="168"/>
      <c r="BR252" s="168"/>
      <c r="BS252" s="168"/>
      <c r="BT252" s="168"/>
      <c r="BU252" s="168"/>
      <c r="BV252" s="168"/>
      <c r="BW252" s="168"/>
      <c r="BX252" s="168"/>
      <c r="BY252" s="168"/>
      <c r="BZ252" s="168"/>
      <c r="CA252" s="168"/>
      <c r="CB252" s="168"/>
      <c r="CC252" s="168"/>
      <c r="CD252" s="168"/>
      <c r="CE252" s="168"/>
      <c r="CF252" s="168"/>
      <c r="CG252" s="168"/>
      <c r="CH252" s="168"/>
      <c r="CI252" s="168"/>
      <c r="CJ252" s="168"/>
      <c r="CK252" s="168"/>
      <c r="CL252" s="168"/>
      <c r="CM252" s="168"/>
      <c r="CN252" s="168"/>
      <c r="CO252" s="168"/>
      <c r="CP252" s="168"/>
      <c r="CQ252" s="168"/>
      <c r="CR252" s="168"/>
      <c r="CS252" s="168"/>
      <c r="CT252" s="168"/>
      <c r="CU252" s="168"/>
      <c r="CV252" s="168"/>
      <c r="CW252" s="168"/>
    </row>
    <row r="253" spans="3:101" ht="12.75"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</row>
    <row r="254" spans="3:101" ht="12.75"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</row>
    <row r="255" spans="3:101" ht="12.75"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10"/>
      <c r="CM255" s="110"/>
      <c r="CN255" s="110"/>
      <c r="CO255" s="110"/>
      <c r="CP255" s="110"/>
      <c r="CQ255" s="110"/>
      <c r="CR255" s="110"/>
      <c r="CS255" s="110"/>
      <c r="CT255" s="110"/>
      <c r="CU255" s="110"/>
      <c r="CV255" s="110"/>
      <c r="CW255" s="110"/>
    </row>
  </sheetData>
  <sheetProtection/>
  <autoFilter ref="A2:CY220"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1.28125" style="0" customWidth="1"/>
  </cols>
  <sheetData>
    <row r="1" spans="1:36" ht="18">
      <c r="A1" s="36"/>
      <c r="B1" s="36"/>
      <c r="C1" s="41"/>
      <c r="D1" s="4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2"/>
      <c r="B2" s="2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</row>
    <row r="3" spans="1:36" ht="15.75">
      <c r="A3" s="2"/>
      <c r="B3" s="51"/>
      <c r="C3" s="1"/>
      <c r="D3" s="4"/>
      <c r="E3" s="1"/>
      <c r="F3" s="1"/>
      <c r="G3" s="4"/>
      <c r="H3" s="1"/>
      <c r="I3" s="1"/>
      <c r="J3" s="1"/>
      <c r="K3" s="1"/>
      <c r="L3" s="1"/>
      <c r="M3" s="1"/>
      <c r="N3" s="1"/>
      <c r="O3" s="4"/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"/>
      <c r="AD3" s="1"/>
      <c r="AE3" s="38"/>
      <c r="AF3" s="1"/>
      <c r="AG3" s="1"/>
      <c r="AH3" s="1"/>
      <c r="AI3" s="1"/>
      <c r="AJ3" s="38"/>
    </row>
    <row r="4" spans="1:36" ht="12.75">
      <c r="A4" s="37"/>
      <c r="B4" s="37"/>
      <c r="C4" s="43"/>
      <c r="D4" s="4"/>
      <c r="E4" s="20"/>
      <c r="F4" s="39"/>
      <c r="G4" s="40"/>
      <c r="H4" s="20"/>
      <c r="I4" s="39"/>
      <c r="J4" s="39"/>
      <c r="K4" s="20"/>
      <c r="L4" s="39"/>
      <c r="M4" s="20"/>
      <c r="N4" s="38"/>
      <c r="O4" s="4"/>
      <c r="P4" s="2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8"/>
      <c r="AD4" s="38"/>
      <c r="AE4" s="4"/>
      <c r="AF4" s="38"/>
      <c r="AG4" s="38"/>
      <c r="AH4" s="38"/>
      <c r="AI4" s="38"/>
      <c r="AJ4" s="38"/>
    </row>
    <row r="5" spans="1:36" ht="12.75">
      <c r="A5" s="2"/>
      <c r="B5" s="2"/>
      <c r="C5" s="1"/>
      <c r="D5" s="40"/>
      <c r="E5" s="14"/>
      <c r="F5" s="1"/>
      <c r="G5" s="4"/>
      <c r="H5" s="14"/>
      <c r="I5" s="14"/>
      <c r="J5" s="14"/>
      <c r="K5" s="14"/>
      <c r="L5" s="14"/>
      <c r="M5" s="14"/>
      <c r="N5" s="14"/>
      <c r="O5" s="4"/>
      <c r="P5" s="1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14"/>
      <c r="AD5" s="14"/>
      <c r="AE5" s="14"/>
      <c r="AF5" s="14"/>
      <c r="AG5" s="14"/>
      <c r="AH5" s="14"/>
      <c r="AI5" s="1"/>
      <c r="AJ5" s="1"/>
    </row>
    <row r="6" spans="1:36" ht="12.75">
      <c r="A6" s="2"/>
      <c r="B6" s="2"/>
      <c r="C6" s="1"/>
      <c r="D6" s="40"/>
      <c r="E6" s="1"/>
      <c r="F6" s="1"/>
      <c r="G6" s="1"/>
      <c r="H6" s="1"/>
      <c r="I6" s="1"/>
      <c r="J6" s="1"/>
      <c r="K6" s="1"/>
      <c r="L6" s="1"/>
      <c r="M6" s="1"/>
      <c r="N6" s="14"/>
      <c r="O6" s="4"/>
      <c r="P6" s="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"/>
      <c r="AD6" s="1"/>
      <c r="AE6" s="1"/>
      <c r="AF6" s="4"/>
      <c r="AG6" s="1"/>
      <c r="AH6" s="1"/>
      <c r="AI6" s="1"/>
      <c r="AJ6" s="1"/>
    </row>
    <row r="7" spans="1:36" ht="12.75">
      <c r="A7" s="2"/>
      <c r="B7" s="2"/>
      <c r="C7" s="1"/>
      <c r="D7" s="6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"/>
    </row>
    <row r="8" spans="1:36" ht="12.75">
      <c r="A8" s="2"/>
      <c r="B8" s="2"/>
      <c r="C8" s="1"/>
      <c r="D8" s="6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7"/>
    </row>
    <row r="9" spans="1:36" ht="12.75">
      <c r="A9" s="2"/>
      <c r="B9" s="2"/>
      <c r="C9" s="1"/>
      <c r="D9" s="6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"/>
    </row>
    <row r="10" spans="1:36" ht="12.75">
      <c r="A10" s="2"/>
      <c r="B10" s="2"/>
      <c r="C10" s="1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"/>
    </row>
    <row r="11" spans="1:36" ht="12.75">
      <c r="A11" s="2"/>
      <c r="B11" s="2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"/>
    </row>
    <row r="12" spans="1:36" ht="12.75">
      <c r="A12" s="2"/>
      <c r="B12" s="2"/>
      <c r="C12" s="1"/>
      <c r="D12" s="6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"/>
    </row>
    <row r="13" spans="1:36" ht="12.75">
      <c r="A13" s="2"/>
      <c r="B13" s="2"/>
      <c r="C13" s="1"/>
      <c r="D13" s="6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"/>
    </row>
    <row r="14" spans="1:36" ht="12.75">
      <c r="A14" s="2"/>
      <c r="B14" s="2"/>
      <c r="C14" s="1"/>
      <c r="D14" s="6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"/>
    </row>
    <row r="15" spans="1:36" ht="12.75">
      <c r="A15" s="2"/>
      <c r="B15" s="2"/>
      <c r="C15" s="1"/>
      <c r="D15" s="6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"/>
    </row>
    <row r="16" spans="1:36" ht="12.75">
      <c r="A16" s="2"/>
      <c r="B16" s="2"/>
      <c r="C16" s="1"/>
      <c r="D16" s="6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"/>
    </row>
    <row r="17" spans="1:36" ht="12.75">
      <c r="A17" s="2"/>
      <c r="B17" s="2"/>
      <c r="C17" s="1"/>
      <c r="D17" s="6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"/>
    </row>
    <row r="18" spans="1:36" ht="12.75">
      <c r="A18" s="2"/>
      <c r="B18" s="2"/>
      <c r="C18" s="1"/>
      <c r="D18" s="6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"/>
    </row>
    <row r="19" spans="1:36" ht="12.75">
      <c r="A19" s="2"/>
      <c r="B19" s="2"/>
      <c r="C19" s="1"/>
      <c r="D19" s="6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"/>
    </row>
    <row r="20" spans="1:36" ht="12.75">
      <c r="A20" s="2"/>
      <c r="B20" s="2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"/>
    </row>
    <row r="21" spans="1:36" ht="12.75">
      <c r="A21" s="2"/>
      <c r="B21" s="2"/>
      <c r="C21" s="1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"/>
    </row>
    <row r="22" spans="1:36" ht="12.75">
      <c r="A22" s="2"/>
      <c r="B22" s="2"/>
      <c r="C22" s="1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0"/>
      <c r="AJ22" s="2"/>
    </row>
    <row r="23" spans="1:36" ht="12.75">
      <c r="A23" s="2"/>
      <c r="B23" s="2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/>
      <c r="AJ23" s="2"/>
    </row>
    <row r="24" spans="1:36" ht="12.75">
      <c r="A24" s="2"/>
      <c r="B24" s="2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</row>
    <row r="25" spans="1:36" ht="12.75">
      <c r="A25" s="2"/>
      <c r="B25" s="2"/>
      <c r="C25" s="1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0"/>
      <c r="AJ25" s="2"/>
    </row>
    <row r="26" spans="1:36" ht="12.75">
      <c r="A26" s="2"/>
      <c r="B26" s="2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"/>
      <c r="AJ26" s="2"/>
    </row>
    <row r="27" spans="1:36" ht="12.75">
      <c r="A27" s="2"/>
      <c r="B27" s="2"/>
      <c r="C27" s="1"/>
      <c r="D27" s="4"/>
      <c r="E27" s="1"/>
      <c r="F27" s="1"/>
      <c r="G27" s="1"/>
      <c r="H27" s="1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"/>
      <c r="AJ27" s="2"/>
    </row>
    <row r="28" spans="1:36" ht="12.75">
      <c r="A28" s="2"/>
      <c r="B28" s="2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"/>
      <c r="AJ28" s="2"/>
    </row>
  </sheetData>
  <sheetProtection/>
  <printOptions/>
  <pageMargins left="0.24" right="0.46" top="0.28" bottom="0.25" header="0.21" footer="0.1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Larsen</dc:creator>
  <cp:keywords/>
  <dc:description/>
  <cp:lastModifiedBy>Standard</cp:lastModifiedBy>
  <cp:lastPrinted>2010-08-25T16:22:14Z</cp:lastPrinted>
  <dcterms:created xsi:type="dcterms:W3CDTF">1999-12-06T09:49:47Z</dcterms:created>
  <dcterms:modified xsi:type="dcterms:W3CDTF">2011-01-26T23:34:08Z</dcterms:modified>
  <cp:category/>
  <cp:version/>
  <cp:contentType/>
  <cp:contentStatus/>
</cp:coreProperties>
</file>